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Титульный лист" sheetId="1" r:id="rId1"/>
    <sheet name="декабрь" sheetId="2" r:id="rId2"/>
  </sheets>
  <definedNames>
    <definedName name="_xlnm.Print_Titles" localSheetId="1">'декабрь'!$A:$A,'декабрь'!$4:$6</definedName>
    <definedName name="_xlnm.Print_Area" localSheetId="1">'декабрь'!$A$1:$AF$89</definedName>
  </definedNames>
  <calcPr fullCalcOnLoad="1"/>
</workbook>
</file>

<file path=xl/comments2.xml><?xml version="1.0" encoding="utf-8"?>
<comments xmlns="http://schemas.openxmlformats.org/spreadsheetml/2006/main">
  <authors>
    <author>Обухова Елена Амировна</author>
  </authors>
  <commentList>
    <comment ref="A66" authorId="0">
      <text>
        <r>
          <rPr>
            <b/>
            <sz val="13"/>
            <rFont val="Tahoma"/>
            <family val="2"/>
          </rPr>
          <t>Обухова Елена Амировна:</t>
        </r>
        <r>
          <rPr>
            <sz val="13"/>
            <rFont val="Tahoma"/>
            <family val="2"/>
          </rPr>
          <t xml:space="preserve">
мер-ие 03.03.18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<sst xmlns="http://schemas.openxmlformats.org/spreadsheetml/2006/main" count="148" uniqueCount="76">
  <si>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</si>
  <si>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</si>
  <si>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</si>
  <si>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</si>
  <si>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Мероприятия программы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</si>
  <si>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</si>
  <si>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</si>
  <si>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</si>
  <si>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</si>
  <si>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</si>
  <si>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</si>
  <si>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</si>
  <si>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</si>
  <si>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</si>
  <si>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</si>
  <si>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</si>
  <si>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</si>
  <si>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</si>
  <si>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</si>
  <si>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</si>
  <si>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</si>
  <si>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</si>
  <si>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</si>
  <si>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Подпрограмма 1.Дети города Когалыма</t>
  </si>
  <si>
    <t>Мероприятия:</t>
  </si>
  <si>
    <t>п.1.1.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</si>
  <si>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</si>
  <si>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</si>
  <si>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</si>
  <si>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</si>
  <si>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</si>
  <si>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п.1.2. Назначение и предоставление единовременного пособия  при всех формах устройства детей, лишенных родительского попечения, в семью. </t>
  </si>
  <si>
    <t>Задача 2. Исполнение отдельных государственных полномочий Ханты-Мансийского автономного округа - Югры в сфере опеки и попечительства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</si>
  <si>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</si>
  <si>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</si>
  <si>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</si>
  <si>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Итого по программе, в том числе</t>
  </si>
  <si>
    <t>"Социальная поддержка жителей города Когалыма на 2014-2017 годы"</t>
  </si>
  <si>
    <t>п.2.1. Организация  деятельности по опеке и попечительству</t>
  </si>
  <si>
    <t>п.3.1. 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</si>
  <si>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п.3.3. 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</si>
  <si>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п.4.1. 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</si>
  <si>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Профинансировано на отчетную дату</t>
  </si>
  <si>
    <t>Результаты реализации и причины отклонений факта от плана</t>
  </si>
  <si>
    <t>кассовый расход</t>
  </si>
  <si>
    <t>в т.ч. софинансирование (бюджет автономного округа)</t>
  </si>
  <si>
    <t>в т.ч. софинансирование (бюджет города Когалыма)</t>
  </si>
  <si>
    <t>Исполнитель:</t>
  </si>
  <si>
    <t>п.4.2. 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</si>
  <si>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 xml:space="preserve"> п.3.2.Предоставление путёвок, курсовок, а также оплаты медицинских услуг и проезда к месту лечения (оздоровления) и обратно</t>
  </si>
  <si>
    <t>Отчет о ходе реализации муниципальной программы " Социальная поддержка жителей города Когалыма на 2014-2017 годы"</t>
  </si>
  <si>
    <t>План на 2015 год</t>
  </si>
  <si>
    <t>Задача 5:Повышение уровня материального обеспечения ветеранов Великой Отечественной войны 1941-1945 годов</t>
  </si>
  <si>
    <t>п. 5.1. Единовременная выплата ветеранам Великой Отечественной войны, проживающим в городе Когалыме</t>
  </si>
  <si>
    <t>Обухова Елена Амировна</t>
  </si>
  <si>
    <t>(34667)9-38-57</t>
  </si>
  <si>
    <t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</t>
  </si>
  <si>
    <t>п.5.2. Оказание адресной помощи в виде выполнения работ по ремонту жилых помещений, находящихся в муниципальной собственности граждан из членов семей, погибших (умерших) инвалидов войны, участников ВОВ и ветеранов боевых действий (вдовам, не вступившим в повторный брак)</t>
  </si>
  <si>
    <t>ОТДЕЛ ОПЕКИ И ПОПЕЧИТЕЛЬСТВА</t>
  </si>
  <si>
    <t>С.В.Корнева</t>
  </si>
  <si>
    <t>главный специалист ООП</t>
  </si>
  <si>
    <t>Начальник отдела опеки и попечительства</t>
  </si>
  <si>
    <t>неисполнение в размере 17,76 в связи с непредоставлением счетов на приобретение футболок и нанесение логотипа., неисполнение в размере 82,79 связано с тем,что в июне на двух спортивных площадках работали тренера МАУ "Дворец Спорта" в счет своей "рабочей нагрузки". Остатки будут возвращены в бюджет</t>
  </si>
  <si>
    <t>на 01.01.2016</t>
  </si>
  <si>
    <t>2016 год</t>
  </si>
  <si>
    <t>за  2015 года</t>
  </si>
  <si>
    <t>экономия по страховым взносам, а также в связи с несвоевременным предоставлением необходимых документов законным представителем для заключения договора на выплату вознаграждения приёмным родителям. Выплаты осуществляются 54 приёмным родителям</t>
  </si>
  <si>
    <t>В связи сокращением 1 штатной единицы сложилась экономия денежных средств</t>
  </si>
  <si>
    <t>Приобретены путевки в детский оздоровительный лагерь в Крым г.Евпатория "Здравница"</t>
  </si>
  <si>
    <t>КУМИ в феврале-марте произведён окончательный расчёт по контрактам, заключенным в 2014 году. 
В соответствии с лимитами бюджетных обязательств, в июне 2015 комитетом заключены муниципальные контракты на приобретение 17 квартир общей площадью 591 кв.м. на сумму 30 116,7 тыс.руб. Бюджетные обязательства по заключённым контрактам исполнены в полном объеме. Задолженность по контрактам отсутствует.
Сумма невостребованных средств составила 3 454,8 тыс.рублей, из них: средства окружного бюджета 3 388,3 тыс. рублей, средства местного бюджета 66,5 тыс. рублей. При этом, 14.12.2015 Администрацией г.Когалыма направлено обращение в адрес отраслевого Департамента ХМАО-Югры по вопросу закрытия остатков неиспользованных бюджетных ассигнований ОБ в размере 3 388,3 тыс.руб. 
29.12.2015 от Департамента ХМАО-Югры поступил ответ о невозможности закрытия экономии средств в виду отсутствия доп. потребности в бюджетных ассигнованиях у муниципальных образования ХМАО-Югры. Всего в 2015 году обеспечены: 8 человек</t>
  </si>
  <si>
    <t>65 чел была произведена выплата к Дню Победы, 68 чел.была произведена выплата к 30-летнему юбилею города Когалыма</t>
  </si>
  <si>
    <t>убрала привлечнные средства 2510,10</t>
  </si>
  <si>
    <t xml:space="preserve"> Февраль: Шк№8 =14,97 т.р. Расход: на оплата труда по ГПХ сопровождающим детей в лагерь "Алые паруса" составляет 14,97 т.р. ;                                                                                                                                              Март: Заключен мун. контракт на Болгарию 50 путевок  (путем проведения ЭА) на сумму 1360,7 т.р.                                                                                                     Апрель: Внесена предоплата за предоставление путевок по Болгарии на сумму 136,07 т.р. Состоялся аукцион по Крыму на приобретения 229 путевок,  НМЦ 6 412,00 тыс.руб.- окончание проведения ЭА 05.05.2015.  ШК №10-36,2 т.р. Расход: оплата за организацию питания в пришкольных лагерях на сумму 36,2 т.р.                                                                                                                                                 Май: Предоплата по Крыму будет производиться в июне 10% от суммы контракта 641,0 т.р. Оплата путёвок посменно, когда будет возвращение из лагеря, ранее планировалась 100% предоплата.                                                                             Июнь: Заключены договора на предоставление оздоровительных путёвок для детей в г.Ханты - Мансийск на сумму 348,6 т.р., прошла предоплата в размере 50% в сумме 174,3 т.р. (МБ).   ОБ: Прошла предоплата по Крыму в размере 10%  на сумму 641 т.р.                                                                                                                                                        Июль:Оплата по Крыму за 1-ю и 2-ю смены на сумму 2 606 руб. (МБ=177,0, ОБ=2 429,0). Лагерь г.Ханты-Мансийск прошла оплата по МБ на сумму 174 300 руб. Проведена оплата по факту проезда льготной категории на сумму 319,65 т.р. (МБ)                                                                                                                                                    Август: Прошла оплата по проезду льготной категории на сумму 348,6 т.р. (МБ), произвелся окончательный расчет по Болгарии на сумму 1 088,53 т.р. (ОБ).                                                                                                                                  Сентябрь. 01.10.2015г. пройдет окончательный расчет по Крыму за 4-ю смену из ОБ 684,17 т.р. МБ 1 751,07 т.р.                                                                                                                                                                        Октябрь: приобретение путевок г.Тюмень (осенние канилы) предоплата 10% 43,00 т.р.                                                                                                                                          Ноябрь: оплата путевок г.Тюмень (осенние каникулы) 430,0 т.р.                                                                  Сложилась экономия: по питанию в детских лагерях на сумму 499,80 т.р. по ОБ, по путевкам на сумму 63,59 т.р. по МБ </t>
  </si>
  <si>
    <t>Заключены муниципальные контракты на ремонт жиллых помещений: МК №08/2015 от 23.07.2015 на 83,59т.руб., срок выполнения по 15.08.2015; МК №09/2015 от 23.07.2015 на 95,91т.руб., срок выполнения по 15.08.2015. Работы по контрактам выполнены, оплата произведена в полном объеме.  Ремонт был произведен 1 человеку</t>
  </si>
  <si>
    <t>единовременное пособие было освоено в полном объеме. Выплаты были осуществлены 66 чел</t>
  </si>
  <si>
    <t>В связи с отсутствием детей-сирот и детей, оставшихся без попечения родителей в организациях для данной категории граждан (в 2015 году выявленные 12 несовершеннолетних определены на семейные формы устройства)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</si>
</sst>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#,##0_ ;[Red]\-#,##0\ "/>
    <numFmt numFmtId="182" formatCode="#,##0.0"/>
    <numFmt numFmtId="183" formatCode="#,##0.000"/>
    <numFmt numFmtId="184" formatCode="[$-FC19]d\ mmmm\ yyyy\ &quot;г.&quot;"/>
    <numFmt numFmtId="185" formatCode="#,##0.00\ &quot;₽&quot;"/>
    <numFmt numFmtId="186" formatCode="#,##0.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5"/>
      <name val="Arial"/>
      <family val="2"/>
    </font>
    <font>
      <i/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8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16" borderId="0" applyNumberFormat="0" applyBorder="0" applyAlignment="0" applyProtection="0"/>
    <xf numFmtId="0" fontId="41" fillId="26" borderId="0" applyNumberFormat="0" applyBorder="0" applyAlignment="0" applyProtection="0"/>
    <xf numFmtId="0" fontId="2" fillId="18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justify" vertical="center" wrapText="1"/>
    </xf>
    <xf numFmtId="18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181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wrapText="1"/>
    </xf>
    <xf numFmtId="0" fontId="29" fillId="0" borderId="0" xfId="0" applyFont="1" applyFill="1" applyAlignment="1">
      <alignment vertical="center" wrapText="1"/>
    </xf>
    <xf numFmtId="180" fontId="24" fillId="0" borderId="11" xfId="0" applyNumberFormat="1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80" fontId="24" fillId="0" borderId="0" xfId="0" applyNumberFormat="1" applyFont="1" applyFill="1" applyAlignment="1">
      <alignment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justify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justify" vertical="center" wrapText="1"/>
    </xf>
    <xf numFmtId="0" fontId="27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right" vertical="center" wrapText="1"/>
    </xf>
    <xf numFmtId="180" fontId="32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180" fontId="27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80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14" xfId="0" applyFont="1" applyFill="1" applyBorder="1" applyAlignment="1">
      <alignment horizontal="justify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180" fontId="24" fillId="0" borderId="0" xfId="0" applyNumberFormat="1" applyFont="1" applyFill="1" applyAlignment="1">
      <alignment horizontal="right" vertical="center" wrapText="1"/>
    </xf>
    <xf numFmtId="4" fontId="23" fillId="0" borderId="13" xfId="0" applyNumberFormat="1" applyFont="1" applyFill="1" applyBorder="1" applyAlignment="1">
      <alignment horizontal="left" vertical="center" wrapText="1"/>
    </xf>
    <xf numFmtId="4" fontId="24" fillId="0" borderId="13" xfId="0" applyNumberFormat="1" applyFont="1" applyFill="1" applyBorder="1" applyAlignment="1">
      <alignment horizontal="left" vertical="center" wrapText="1"/>
    </xf>
    <xf numFmtId="4" fontId="24" fillId="0" borderId="13" xfId="0" applyNumberFormat="1" applyFont="1" applyFill="1" applyBorder="1" applyAlignment="1" applyProtection="1">
      <alignment horizontal="left" vertical="center" wrapText="1"/>
      <protection/>
    </xf>
    <xf numFmtId="4" fontId="32" fillId="0" borderId="15" xfId="0" applyNumberFormat="1" applyFont="1" applyFill="1" applyBorder="1" applyAlignment="1">
      <alignment horizontal="left" vertical="center" wrapText="1"/>
    </xf>
    <xf numFmtId="4" fontId="23" fillId="0" borderId="16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left" vertical="center" wrapText="1"/>
    </xf>
    <xf numFmtId="4" fontId="23" fillId="42" borderId="13" xfId="0" applyNumberFormat="1" applyFont="1" applyFill="1" applyBorder="1" applyAlignment="1">
      <alignment horizontal="left" vertical="center" wrapText="1"/>
    </xf>
    <xf numFmtId="0" fontId="23" fillId="42" borderId="0" xfId="0" applyFont="1" applyFill="1" applyAlignment="1">
      <alignment/>
    </xf>
    <xf numFmtId="0" fontId="23" fillId="43" borderId="0" xfId="0" applyFont="1" applyFill="1" applyAlignment="1">
      <alignment/>
    </xf>
    <xf numFmtId="0" fontId="23" fillId="0" borderId="0" xfId="0" applyFont="1" applyFill="1" applyAlignment="1">
      <alignment horizontal="left" wrapText="1"/>
    </xf>
    <xf numFmtId="0" fontId="24" fillId="0" borderId="10" xfId="0" applyFont="1" applyFill="1" applyBorder="1" applyAlignment="1">
      <alignment horizontal="justify" vertical="center" wrapText="1"/>
    </xf>
    <xf numFmtId="0" fontId="21" fillId="44" borderId="0" xfId="0" applyFont="1" applyFill="1" applyAlignment="1">
      <alignment/>
    </xf>
    <xf numFmtId="0" fontId="23" fillId="45" borderId="0" xfId="0" applyFont="1" applyFill="1" applyAlignment="1">
      <alignment/>
    </xf>
    <xf numFmtId="0" fontId="24" fillId="15" borderId="0" xfId="0" applyFont="1" applyFill="1" applyAlignment="1">
      <alignment/>
    </xf>
    <xf numFmtId="4" fontId="24" fillId="46" borderId="11" xfId="0" applyNumberFormat="1" applyFont="1" applyFill="1" applyBorder="1" applyAlignment="1">
      <alignment horizontal="right" vertical="center" wrapText="1"/>
    </xf>
    <xf numFmtId="0" fontId="23" fillId="47" borderId="0" xfId="0" applyFont="1" applyFill="1" applyAlignment="1">
      <alignment horizontal="center" vertical="center"/>
    </xf>
    <xf numFmtId="4" fontId="23" fillId="9" borderId="13" xfId="0" applyNumberFormat="1" applyFont="1" applyFill="1" applyBorder="1" applyAlignment="1">
      <alignment horizontal="left" vertical="center" wrapText="1"/>
    </xf>
    <xf numFmtId="0" fontId="23" fillId="9" borderId="0" xfId="0" applyFont="1" applyFill="1" applyAlignment="1">
      <alignment/>
    </xf>
    <xf numFmtId="180" fontId="24" fillId="9" borderId="0" xfId="0" applyNumberFormat="1" applyFont="1" applyFill="1" applyAlignment="1">
      <alignment vertical="center" wrapText="1"/>
    </xf>
    <xf numFmtId="0" fontId="24" fillId="9" borderId="0" xfId="0" applyFont="1" applyFill="1" applyBorder="1" applyAlignment="1">
      <alignment vertical="center" wrapText="1"/>
    </xf>
    <xf numFmtId="0" fontId="23" fillId="15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 applyProtection="1">
      <alignment horizontal="justify" vertical="center" wrapText="1"/>
      <protection/>
    </xf>
    <xf numFmtId="0" fontId="31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wrapText="1"/>
    </xf>
    <xf numFmtId="0" fontId="23" fillId="0" borderId="18" xfId="0" applyFont="1" applyFill="1" applyBorder="1" applyAlignment="1">
      <alignment horizontal="justify" wrapText="1"/>
    </xf>
    <xf numFmtId="0" fontId="38" fillId="0" borderId="17" xfId="0" applyFont="1" applyFill="1" applyBorder="1" applyAlignment="1">
      <alignment horizontal="justify" wrapText="1"/>
    </xf>
    <xf numFmtId="0" fontId="23" fillId="9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42" borderId="10" xfId="0" applyFont="1" applyFill="1" applyBorder="1" applyAlignment="1">
      <alignment horizontal="justify" wrapText="1"/>
    </xf>
    <xf numFmtId="14" fontId="27" fillId="0" borderId="0" xfId="0" applyNumberFormat="1" applyFont="1" applyFill="1" applyAlignment="1">
      <alignment horizontal="justify" vertical="center" wrapText="1"/>
    </xf>
    <xf numFmtId="181" fontId="24" fillId="0" borderId="19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19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justify" wrapText="1"/>
    </xf>
    <xf numFmtId="4" fontId="24" fillId="25" borderId="13" xfId="0" applyNumberFormat="1" applyFont="1" applyFill="1" applyBorder="1" applyAlignment="1">
      <alignment horizontal="left" vertical="center" wrapText="1"/>
    </xf>
    <xf numFmtId="4" fontId="23" fillId="25" borderId="0" xfId="0" applyNumberFormat="1" applyFont="1" applyFill="1" applyAlignment="1">
      <alignment vertical="center" wrapText="1"/>
    </xf>
    <xf numFmtId="0" fontId="23" fillId="25" borderId="0" xfId="0" applyFont="1" applyFill="1" applyAlignment="1">
      <alignment vertical="center" wrapText="1"/>
    </xf>
    <xf numFmtId="186" fontId="23" fillId="0" borderId="12" xfId="0" applyNumberFormat="1" applyFont="1" applyFill="1" applyBorder="1" applyAlignment="1">
      <alignment horizontal="center"/>
    </xf>
    <xf numFmtId="186" fontId="23" fillId="0" borderId="22" xfId="0" applyNumberFormat="1" applyFont="1" applyFill="1" applyBorder="1" applyAlignment="1">
      <alignment horizontal="center"/>
    </xf>
    <xf numFmtId="186" fontId="23" fillId="0" borderId="23" xfId="0" applyNumberFormat="1" applyFont="1" applyFill="1" applyBorder="1" applyAlignment="1">
      <alignment horizontal="center"/>
    </xf>
    <xf numFmtId="186" fontId="23" fillId="0" borderId="24" xfId="0" applyNumberFormat="1" applyFont="1" applyFill="1" applyBorder="1" applyAlignment="1">
      <alignment horizontal="center"/>
    </xf>
    <xf numFmtId="186" fontId="23" fillId="0" borderId="17" xfId="0" applyNumberFormat="1" applyFont="1" applyFill="1" applyBorder="1" applyAlignment="1">
      <alignment horizontal="center"/>
    </xf>
    <xf numFmtId="186" fontId="23" fillId="42" borderId="12" xfId="0" applyNumberFormat="1" applyFont="1" applyFill="1" applyBorder="1" applyAlignment="1">
      <alignment horizontal="center"/>
    </xf>
    <xf numFmtId="186" fontId="24" fillId="0" borderId="12" xfId="0" applyNumberFormat="1" applyFont="1" applyFill="1" applyBorder="1" applyAlignment="1">
      <alignment horizontal="center"/>
    </xf>
    <xf numFmtId="186" fontId="24" fillId="0" borderId="12" xfId="0" applyNumberFormat="1" applyFont="1" applyFill="1" applyBorder="1" applyAlignment="1" applyProtection="1">
      <alignment horizontal="center"/>
      <protection/>
    </xf>
    <xf numFmtId="186" fontId="24" fillId="0" borderId="23" xfId="0" applyNumberFormat="1" applyFont="1" applyFill="1" applyBorder="1" applyAlignment="1">
      <alignment horizontal="center"/>
    </xf>
    <xf numFmtId="186" fontId="24" fillId="0" borderId="22" xfId="0" applyNumberFormat="1" applyFont="1" applyFill="1" applyBorder="1" applyAlignment="1">
      <alignment horizontal="center"/>
    </xf>
    <xf numFmtId="186" fontId="23" fillId="0" borderId="17" xfId="0" applyNumberFormat="1" applyFont="1" applyFill="1" applyBorder="1" applyAlignment="1" applyProtection="1">
      <alignment horizontal="center"/>
      <protection/>
    </xf>
    <xf numFmtId="186" fontId="24" fillId="46" borderId="12" xfId="0" applyNumberFormat="1" applyFont="1" applyFill="1" applyBorder="1" applyAlignment="1">
      <alignment horizontal="center"/>
    </xf>
    <xf numFmtId="186" fontId="24" fillId="25" borderId="12" xfId="0" applyNumberFormat="1" applyFont="1" applyFill="1" applyBorder="1" applyAlignment="1">
      <alignment horizontal="center"/>
    </xf>
    <xf numFmtId="186" fontId="23" fillId="46" borderId="12" xfId="0" applyNumberFormat="1" applyFont="1" applyFill="1" applyBorder="1" applyAlignment="1">
      <alignment horizontal="center"/>
    </xf>
    <xf numFmtId="186" fontId="23" fillId="42" borderId="17" xfId="0" applyNumberFormat="1" applyFont="1" applyFill="1" applyBorder="1" applyAlignment="1" applyProtection="1">
      <alignment horizontal="center"/>
      <protection/>
    </xf>
    <xf numFmtId="186" fontId="24" fillId="42" borderId="17" xfId="0" applyNumberFormat="1" applyFont="1" applyFill="1" applyBorder="1" applyAlignment="1" applyProtection="1">
      <alignment horizontal="center"/>
      <protection/>
    </xf>
    <xf numFmtId="186" fontId="24" fillId="9" borderId="12" xfId="0" applyNumberFormat="1" applyFont="1" applyFill="1" applyBorder="1" applyAlignment="1">
      <alignment horizontal="center" vertical="center"/>
    </xf>
    <xf numFmtId="186" fontId="24" fillId="0" borderId="12" xfId="0" applyNumberFormat="1" applyFont="1" applyFill="1" applyBorder="1" applyAlignment="1">
      <alignment horizontal="center" vertical="center"/>
    </xf>
    <xf numFmtId="186" fontId="24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vertical="center"/>
    </xf>
    <xf numFmtId="186" fontId="24" fillId="0" borderId="17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 wrapText="1"/>
    </xf>
    <xf numFmtId="186" fontId="24" fillId="0" borderId="25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center" vertical="center" wrapText="1"/>
    </xf>
    <xf numFmtId="186" fontId="23" fillId="0" borderId="12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 wrapText="1"/>
    </xf>
    <xf numFmtId="0" fontId="23" fillId="9" borderId="0" xfId="0" applyFont="1" applyFill="1" applyAlignment="1">
      <alignment vertical="center"/>
    </xf>
    <xf numFmtId="0" fontId="23" fillId="20" borderId="10" xfId="0" applyNumberFormat="1" applyFont="1" applyFill="1" applyBorder="1" applyAlignment="1">
      <alignment horizontal="justify" vertical="center" wrapText="1"/>
    </xf>
    <xf numFmtId="186" fontId="24" fillId="20" borderId="12" xfId="0" applyNumberFormat="1" applyFont="1" applyFill="1" applyBorder="1" applyAlignment="1">
      <alignment horizontal="center" vertical="center"/>
    </xf>
    <xf numFmtId="4" fontId="29" fillId="20" borderId="13" xfId="0" applyNumberFormat="1" applyFont="1" applyFill="1" applyBorder="1" applyAlignment="1">
      <alignment horizontal="left" vertical="center" wrapText="1"/>
    </xf>
    <xf numFmtId="4" fontId="39" fillId="20" borderId="0" xfId="0" applyNumberFormat="1" applyFont="1" applyFill="1" applyBorder="1" applyAlignment="1">
      <alignment vertical="center" wrapText="1"/>
    </xf>
    <xf numFmtId="0" fontId="24" fillId="2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80" fontId="24" fillId="0" borderId="27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80" fontId="24" fillId="0" borderId="11" xfId="0" applyNumberFormat="1" applyFont="1" applyFill="1" applyBorder="1" applyAlignment="1">
      <alignment horizontal="center" vertical="center" wrapText="1"/>
    </xf>
    <xf numFmtId="180" fontId="24" fillId="0" borderId="29" xfId="0" applyNumberFormat="1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4" fontId="23" fillId="9" borderId="31" xfId="0" applyNumberFormat="1" applyFont="1" applyFill="1" applyBorder="1" applyAlignment="1">
      <alignment horizontal="justify" vertical="center" wrapText="1"/>
    </xf>
    <xf numFmtId="4" fontId="23" fillId="9" borderId="32" xfId="0" applyNumberFormat="1" applyFont="1" applyFill="1" applyBorder="1" applyAlignment="1">
      <alignment horizontal="justify" vertical="center" wrapText="1"/>
    </xf>
    <xf numFmtId="4" fontId="23" fillId="9" borderId="26" xfId="0" applyNumberFormat="1" applyFont="1" applyFill="1" applyBorder="1" applyAlignment="1">
      <alignment horizontal="justify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80" fontId="28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10.8515625" style="1" customWidth="1"/>
    <col min="2" max="8" width="9.140625" style="1" customWidth="1"/>
    <col min="9" max="9" width="12.00390625" style="1" customWidth="1"/>
    <col min="10" max="16384" width="9.140625" style="1" customWidth="1"/>
  </cols>
  <sheetData>
    <row r="1" spans="1:2" ht="18.75">
      <c r="A1" s="115"/>
      <c r="B1" s="115"/>
    </row>
    <row r="10" spans="1:9" ht="23.25">
      <c r="A10" s="116" t="s">
        <v>58</v>
      </c>
      <c r="B10" s="116"/>
      <c r="C10" s="116"/>
      <c r="D10" s="116"/>
      <c r="E10" s="116"/>
      <c r="F10" s="116"/>
      <c r="G10" s="116"/>
      <c r="H10" s="116"/>
      <c r="I10" s="116"/>
    </row>
    <row r="11" spans="1:9" ht="23.25">
      <c r="A11" s="116" t="s">
        <v>0</v>
      </c>
      <c r="B11" s="116"/>
      <c r="C11" s="116"/>
      <c r="D11" s="116"/>
      <c r="E11" s="116"/>
      <c r="F11" s="116"/>
      <c r="G11" s="116"/>
      <c r="H11" s="116"/>
      <c r="I11" s="116"/>
    </row>
    <row r="13" spans="1:9" ht="27" customHeight="1">
      <c r="A13" s="117" t="s">
        <v>1</v>
      </c>
      <c r="B13" s="117"/>
      <c r="C13" s="117"/>
      <c r="D13" s="117"/>
      <c r="E13" s="117"/>
      <c r="F13" s="117"/>
      <c r="G13" s="117"/>
      <c r="H13" s="117"/>
      <c r="I13" s="117"/>
    </row>
    <row r="14" spans="1:9" ht="27" customHeight="1">
      <c r="A14" s="117" t="s">
        <v>2</v>
      </c>
      <c r="B14" s="117"/>
      <c r="C14" s="117"/>
      <c r="D14" s="117"/>
      <c r="E14" s="117"/>
      <c r="F14" s="117"/>
      <c r="G14" s="117"/>
      <c r="H14" s="117"/>
      <c r="I14" s="117"/>
    </row>
    <row r="15" spans="1:9" ht="27" customHeight="1">
      <c r="A15" s="117" t="s">
        <v>37</v>
      </c>
      <c r="B15" s="117"/>
      <c r="C15" s="117"/>
      <c r="D15" s="117"/>
      <c r="E15" s="117"/>
      <c r="F15" s="117"/>
      <c r="G15" s="117"/>
      <c r="H15" s="117"/>
      <c r="I15" s="117"/>
    </row>
    <row r="16" spans="1:9" ht="19.5">
      <c r="A16" s="118" t="s">
        <v>63</v>
      </c>
      <c r="B16" s="119"/>
      <c r="C16" s="119"/>
      <c r="D16" s="119"/>
      <c r="E16" s="119"/>
      <c r="F16" s="119"/>
      <c r="G16" s="119"/>
      <c r="H16" s="119"/>
      <c r="I16" s="119"/>
    </row>
    <row r="46" spans="1:9" ht="16.5">
      <c r="A46" s="114" t="s">
        <v>3</v>
      </c>
      <c r="B46" s="114"/>
      <c r="C46" s="114"/>
      <c r="D46" s="114"/>
      <c r="E46" s="114"/>
      <c r="F46" s="114"/>
      <c r="G46" s="114"/>
      <c r="H46" s="114"/>
      <c r="I46" s="114"/>
    </row>
    <row r="47" spans="1:9" ht="16.5">
      <c r="A47" s="114" t="s">
        <v>64</v>
      </c>
      <c r="B47" s="114"/>
      <c r="C47" s="114"/>
      <c r="D47" s="114"/>
      <c r="E47" s="114"/>
      <c r="F47" s="114"/>
      <c r="G47" s="114"/>
      <c r="H47" s="114"/>
      <c r="I47" s="114"/>
    </row>
  </sheetData>
  <sheetProtection selectLockedCells="1" selectUnlockedCells="1"/>
  <mergeCells count="9">
    <mergeCell ref="A46:I46"/>
    <mergeCell ref="A47:I47"/>
    <mergeCell ref="A1:B1"/>
    <mergeCell ref="A10:I10"/>
    <mergeCell ref="A11:I11"/>
    <mergeCell ref="A13:I13"/>
    <mergeCell ref="A14:I14"/>
    <mergeCell ref="A15:I15"/>
    <mergeCell ref="A16:I16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7"/>
  <sheetViews>
    <sheetView tabSelected="1" view="pageBreakPreview" zoomScale="75" zoomScaleNormal="75" zoomScaleSheetLayoutView="75" workbookViewId="0" topLeftCell="A1">
      <pane xSplit="8" ySplit="6" topLeftCell="AA6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F16" sqref="AF16"/>
    </sheetView>
  </sheetViews>
  <sheetFormatPr defaultColWidth="9.140625" defaultRowHeight="12.75"/>
  <cols>
    <col min="1" max="1" width="76.140625" style="31" customWidth="1"/>
    <col min="2" max="2" width="15.7109375" style="31" customWidth="1"/>
    <col min="3" max="3" width="15.57421875" style="17" customWidth="1"/>
    <col min="4" max="4" width="15.00390625" style="17" customWidth="1"/>
    <col min="5" max="5" width="14.8515625" style="17" customWidth="1"/>
    <col min="6" max="7" width="11.57421875" style="17" customWidth="1"/>
    <col min="8" max="8" width="13.140625" style="4" customWidth="1"/>
    <col min="9" max="9" width="12.8515625" style="4" customWidth="1"/>
    <col min="10" max="10" width="13.421875" style="4" customWidth="1"/>
    <col min="11" max="11" width="14.140625" style="4" customWidth="1"/>
    <col min="12" max="12" width="13.140625" style="4" customWidth="1"/>
    <col min="13" max="13" width="13.57421875" style="4" customWidth="1"/>
    <col min="14" max="14" width="13.140625" style="4" customWidth="1"/>
    <col min="15" max="15" width="14.421875" style="4" customWidth="1"/>
    <col min="16" max="16" width="14.00390625" style="4" customWidth="1"/>
    <col min="17" max="17" width="13.00390625" style="4" customWidth="1"/>
    <col min="18" max="18" width="14.00390625" style="4" customWidth="1"/>
    <col min="19" max="19" width="13.00390625" style="4" customWidth="1"/>
    <col min="20" max="20" width="13.7109375" style="3" customWidth="1"/>
    <col min="21" max="22" width="13.00390625" style="3" customWidth="1"/>
    <col min="23" max="23" width="12.7109375" style="3" customWidth="1"/>
    <col min="24" max="24" width="11.7109375" style="3" customWidth="1"/>
    <col min="25" max="25" width="12.00390625" style="3" customWidth="1"/>
    <col min="26" max="26" width="12.57421875" style="3" customWidth="1"/>
    <col min="27" max="27" width="11.8515625" style="3" customWidth="1"/>
    <col min="28" max="28" width="11.7109375" style="3" customWidth="1"/>
    <col min="29" max="29" width="12.421875" style="3" customWidth="1"/>
    <col min="30" max="30" width="11.7109375" style="3" customWidth="1"/>
    <col min="31" max="31" width="14.28125" style="3" customWidth="1"/>
    <col min="32" max="32" width="102.7109375" style="2" customWidth="1"/>
    <col min="33" max="33" width="12.57421875" style="4" customWidth="1"/>
    <col min="34" max="16384" width="9.140625" style="4" customWidth="1"/>
  </cols>
  <sheetData>
    <row r="1" spans="1:19" ht="23.25" customHeight="1">
      <c r="A1" s="30"/>
      <c r="G1" s="130"/>
      <c r="H1" s="130"/>
      <c r="L1" s="131"/>
      <c r="M1" s="132"/>
      <c r="N1" s="132"/>
      <c r="O1" s="132"/>
      <c r="P1" s="132"/>
      <c r="Q1" s="132"/>
      <c r="R1" s="132"/>
      <c r="S1" s="12"/>
    </row>
    <row r="2" spans="1:20" ht="27.75" customHeight="1">
      <c r="A2" s="133" t="s">
        <v>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19" ht="26.25" customHeight="1" thickBot="1">
      <c r="A3" s="135" t="s">
        <v>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32" s="5" customFormat="1" ht="18.75" customHeight="1">
      <c r="A4" s="137" t="s">
        <v>4</v>
      </c>
      <c r="B4" s="120" t="s">
        <v>51</v>
      </c>
      <c r="C4" s="120" t="s">
        <v>5</v>
      </c>
      <c r="D4" s="124" t="s">
        <v>42</v>
      </c>
      <c r="E4" s="120" t="s">
        <v>6</v>
      </c>
      <c r="F4" s="120" t="s">
        <v>7</v>
      </c>
      <c r="G4" s="120"/>
      <c r="H4" s="120" t="s">
        <v>8</v>
      </c>
      <c r="I4" s="120"/>
      <c r="J4" s="120" t="s">
        <v>9</v>
      </c>
      <c r="K4" s="120"/>
      <c r="L4" s="120" t="s">
        <v>10</v>
      </c>
      <c r="M4" s="120"/>
      <c r="N4" s="120" t="s">
        <v>11</v>
      </c>
      <c r="O4" s="120"/>
      <c r="P4" s="120" t="s">
        <v>12</v>
      </c>
      <c r="Q4" s="120"/>
      <c r="R4" s="120" t="s">
        <v>13</v>
      </c>
      <c r="S4" s="120"/>
      <c r="T4" s="120" t="s">
        <v>14</v>
      </c>
      <c r="U4" s="120"/>
      <c r="V4" s="120" t="s">
        <v>15</v>
      </c>
      <c r="W4" s="120"/>
      <c r="X4" s="120" t="s">
        <v>16</v>
      </c>
      <c r="Y4" s="120"/>
      <c r="Z4" s="120" t="s">
        <v>17</v>
      </c>
      <c r="AA4" s="120"/>
      <c r="AB4" s="120" t="s">
        <v>18</v>
      </c>
      <c r="AC4" s="120"/>
      <c r="AD4" s="120" t="s">
        <v>19</v>
      </c>
      <c r="AE4" s="120"/>
      <c r="AF4" s="121" t="s">
        <v>43</v>
      </c>
    </row>
    <row r="5" spans="1:32" s="5" customFormat="1" ht="87" customHeight="1" thickBot="1">
      <c r="A5" s="138"/>
      <c r="B5" s="123"/>
      <c r="C5" s="123"/>
      <c r="D5" s="125"/>
      <c r="E5" s="123"/>
      <c r="F5" s="13" t="s">
        <v>20</v>
      </c>
      <c r="G5" s="13" t="s">
        <v>21</v>
      </c>
      <c r="H5" s="14" t="s">
        <v>22</v>
      </c>
      <c r="I5" s="14" t="s">
        <v>44</v>
      </c>
      <c r="J5" s="14" t="s">
        <v>22</v>
      </c>
      <c r="K5" s="14" t="s">
        <v>44</v>
      </c>
      <c r="L5" s="14" t="s">
        <v>22</v>
      </c>
      <c r="M5" s="14" t="s">
        <v>44</v>
      </c>
      <c r="N5" s="14" t="s">
        <v>22</v>
      </c>
      <c r="O5" s="14" t="s">
        <v>44</v>
      </c>
      <c r="P5" s="14" t="s">
        <v>22</v>
      </c>
      <c r="Q5" s="14" t="s">
        <v>44</v>
      </c>
      <c r="R5" s="14" t="s">
        <v>22</v>
      </c>
      <c r="S5" s="14" t="s">
        <v>44</v>
      </c>
      <c r="T5" s="14" t="s">
        <v>22</v>
      </c>
      <c r="U5" s="14" t="s">
        <v>44</v>
      </c>
      <c r="V5" s="14" t="s">
        <v>22</v>
      </c>
      <c r="W5" s="14" t="s">
        <v>44</v>
      </c>
      <c r="X5" s="14" t="s">
        <v>22</v>
      </c>
      <c r="Y5" s="14" t="s">
        <v>44</v>
      </c>
      <c r="Z5" s="14" t="s">
        <v>22</v>
      </c>
      <c r="AA5" s="14" t="s">
        <v>44</v>
      </c>
      <c r="AB5" s="14" t="s">
        <v>22</v>
      </c>
      <c r="AC5" s="14" t="s">
        <v>44</v>
      </c>
      <c r="AD5" s="14" t="s">
        <v>22</v>
      </c>
      <c r="AE5" s="14" t="s">
        <v>44</v>
      </c>
      <c r="AF5" s="122"/>
    </row>
    <row r="6" spans="1:32" s="6" customFormat="1" ht="21.75" customHeight="1">
      <c r="A6" s="71">
        <v>1</v>
      </c>
      <c r="B6" s="72">
        <v>2</v>
      </c>
      <c r="C6" s="72">
        <v>3</v>
      </c>
      <c r="D6" s="71">
        <v>4</v>
      </c>
      <c r="E6" s="72">
        <v>5</v>
      </c>
      <c r="F6" s="72">
        <v>6</v>
      </c>
      <c r="G6" s="71">
        <v>7</v>
      </c>
      <c r="H6" s="73">
        <v>8</v>
      </c>
      <c r="I6" s="73">
        <v>9</v>
      </c>
      <c r="J6" s="74">
        <v>10</v>
      </c>
      <c r="K6" s="73">
        <v>11</v>
      </c>
      <c r="L6" s="73">
        <v>12</v>
      </c>
      <c r="M6" s="74">
        <v>13</v>
      </c>
      <c r="N6" s="73">
        <v>14</v>
      </c>
      <c r="O6" s="73">
        <v>15</v>
      </c>
      <c r="P6" s="74">
        <v>16</v>
      </c>
      <c r="Q6" s="73">
        <v>17</v>
      </c>
      <c r="R6" s="73">
        <v>18</v>
      </c>
      <c r="S6" s="74">
        <v>19</v>
      </c>
      <c r="T6" s="73">
        <v>20</v>
      </c>
      <c r="U6" s="73">
        <v>21</v>
      </c>
      <c r="V6" s="74">
        <v>22</v>
      </c>
      <c r="W6" s="73">
        <v>23</v>
      </c>
      <c r="X6" s="73">
        <v>24</v>
      </c>
      <c r="Y6" s="74">
        <v>25</v>
      </c>
      <c r="Z6" s="73">
        <v>26</v>
      </c>
      <c r="AA6" s="73">
        <v>27</v>
      </c>
      <c r="AB6" s="74">
        <v>28</v>
      </c>
      <c r="AC6" s="73">
        <v>29</v>
      </c>
      <c r="AD6" s="73">
        <v>30</v>
      </c>
      <c r="AE6" s="74">
        <v>31</v>
      </c>
      <c r="AF6" s="73">
        <v>32</v>
      </c>
    </row>
    <row r="7" spans="1:32" s="101" customFormat="1" ht="28.5" customHeight="1">
      <c r="A7" s="76" t="s">
        <v>23</v>
      </c>
      <c r="B7" s="102">
        <f>B8+B22+B29</f>
        <v>111062.67428000002</v>
      </c>
      <c r="C7" s="102">
        <f aca="true" t="shared" si="0" ref="C7:AE7">C8+C22+C29</f>
        <v>111062.67428000002</v>
      </c>
      <c r="D7" s="102">
        <f t="shared" si="0"/>
        <v>108355.24999999999</v>
      </c>
      <c r="E7" s="102">
        <f t="shared" si="0"/>
        <v>108355.24999999999</v>
      </c>
      <c r="F7" s="102">
        <f t="shared" si="0"/>
        <v>581.9170644834062</v>
      </c>
      <c r="G7" s="102">
        <f t="shared" si="0"/>
        <v>581.9170644834062</v>
      </c>
      <c r="H7" s="102">
        <f t="shared" si="0"/>
        <v>5481.04379</v>
      </c>
      <c r="I7" s="102">
        <f t="shared" si="0"/>
        <v>4665.09</v>
      </c>
      <c r="J7" s="102">
        <f t="shared" si="0"/>
        <v>10310.333309999998</v>
      </c>
      <c r="K7" s="102">
        <f t="shared" si="0"/>
        <v>10287.430000000002</v>
      </c>
      <c r="L7" s="102">
        <f t="shared" si="0"/>
        <v>13121.826379999999</v>
      </c>
      <c r="M7" s="102">
        <f t="shared" si="0"/>
        <v>9354.89</v>
      </c>
      <c r="N7" s="102">
        <f t="shared" si="0"/>
        <v>10651.24771</v>
      </c>
      <c r="O7" s="102">
        <f t="shared" si="0"/>
        <v>10449.32</v>
      </c>
      <c r="P7" s="102">
        <f t="shared" si="0"/>
        <v>15094.93562</v>
      </c>
      <c r="Q7" s="102">
        <f t="shared" si="0"/>
        <v>10396.55</v>
      </c>
      <c r="R7" s="102">
        <f t="shared" si="0"/>
        <v>24118.135420000002</v>
      </c>
      <c r="S7" s="102">
        <f t="shared" si="0"/>
        <v>22918.510000000002</v>
      </c>
      <c r="T7" s="102">
        <f t="shared" si="0"/>
        <v>9376.35028</v>
      </c>
      <c r="U7" s="102">
        <f t="shared" si="0"/>
        <v>13123</v>
      </c>
      <c r="V7" s="102">
        <f t="shared" si="0"/>
        <v>10036.08017</v>
      </c>
      <c r="W7" s="102">
        <f t="shared" si="0"/>
        <v>7879.610000000001</v>
      </c>
      <c r="X7" s="102">
        <f t="shared" si="0"/>
        <v>3152.72027</v>
      </c>
      <c r="Y7" s="102">
        <f t="shared" si="0"/>
        <v>3906.64</v>
      </c>
      <c r="Z7" s="102">
        <f t="shared" si="0"/>
        <v>3646.1510399999997</v>
      </c>
      <c r="AA7" s="102">
        <f t="shared" si="0"/>
        <v>6099.849999999999</v>
      </c>
      <c r="AB7" s="102">
        <f t="shared" si="0"/>
        <v>1953.37029</v>
      </c>
      <c r="AC7" s="102">
        <f t="shared" si="0"/>
        <v>3459.97</v>
      </c>
      <c r="AD7" s="102">
        <f t="shared" si="0"/>
        <v>4120.48</v>
      </c>
      <c r="AE7" s="102">
        <f t="shared" si="0"/>
        <v>5814.39</v>
      </c>
      <c r="AF7" s="103"/>
    </row>
    <row r="8" spans="1:32" s="101" customFormat="1" ht="94.5">
      <c r="A8" s="75" t="s">
        <v>56</v>
      </c>
      <c r="B8" s="104">
        <f>B10+B16</f>
        <v>66769.78510000001</v>
      </c>
      <c r="C8" s="104">
        <f aca="true" t="shared" si="1" ref="C8:AE8">C10+C16</f>
        <v>66769.78510000001</v>
      </c>
      <c r="D8" s="104">
        <f>D10+D16</f>
        <v>66661.35999999999</v>
      </c>
      <c r="E8" s="104">
        <f t="shared" si="1"/>
        <v>66661.35999999999</v>
      </c>
      <c r="F8" s="104">
        <f t="shared" si="1"/>
        <v>199.83440382134015</v>
      </c>
      <c r="G8" s="104">
        <f t="shared" si="1"/>
        <v>199.83440382134015</v>
      </c>
      <c r="H8" s="104">
        <f t="shared" si="1"/>
        <v>2320.5</v>
      </c>
      <c r="I8" s="104">
        <f t="shared" si="1"/>
        <v>2316.04</v>
      </c>
      <c r="J8" s="104">
        <f t="shared" si="1"/>
        <v>8725.873</v>
      </c>
      <c r="K8" s="104">
        <f t="shared" si="1"/>
        <v>8691.130000000001</v>
      </c>
      <c r="L8" s="104">
        <f t="shared" si="1"/>
        <v>8462.172999999999</v>
      </c>
      <c r="M8" s="104">
        <f t="shared" si="1"/>
        <v>8438.07</v>
      </c>
      <c r="N8" s="104">
        <f t="shared" si="1"/>
        <v>8644.193</v>
      </c>
      <c r="O8" s="104">
        <f t="shared" si="1"/>
        <v>8500.76</v>
      </c>
      <c r="P8" s="104">
        <f t="shared" si="1"/>
        <v>8904.993</v>
      </c>
      <c r="Q8" s="104">
        <f t="shared" si="1"/>
        <v>8688.15</v>
      </c>
      <c r="R8" s="104">
        <f t="shared" si="1"/>
        <v>17259.26381</v>
      </c>
      <c r="S8" s="104">
        <f t="shared" si="1"/>
        <v>17599.82</v>
      </c>
      <c r="T8" s="104">
        <f t="shared" si="1"/>
        <v>2031.243</v>
      </c>
      <c r="U8" s="104">
        <f t="shared" si="1"/>
        <v>0</v>
      </c>
      <c r="V8" s="104">
        <f t="shared" si="1"/>
        <v>2031.743</v>
      </c>
      <c r="W8" s="104">
        <f t="shared" si="1"/>
        <v>1934.8</v>
      </c>
      <c r="X8" s="104">
        <f t="shared" si="1"/>
        <v>2031.743</v>
      </c>
      <c r="Y8" s="104">
        <f t="shared" si="1"/>
        <v>2027.87</v>
      </c>
      <c r="Z8" s="104">
        <f t="shared" si="1"/>
        <v>1930.05</v>
      </c>
      <c r="AA8" s="104">
        <f t="shared" si="1"/>
        <v>2073.7</v>
      </c>
      <c r="AB8" s="104">
        <f t="shared" si="1"/>
        <v>1213.95029</v>
      </c>
      <c r="AC8" s="104">
        <f t="shared" si="1"/>
        <v>2160.06</v>
      </c>
      <c r="AD8" s="104">
        <f t="shared" si="1"/>
        <v>3214.06</v>
      </c>
      <c r="AE8" s="104">
        <f t="shared" si="1"/>
        <v>4230.96</v>
      </c>
      <c r="AF8" s="105"/>
    </row>
    <row r="9" spans="1:32" s="101" customFormat="1" ht="20.25" customHeight="1">
      <c r="A9" s="9" t="s">
        <v>24</v>
      </c>
      <c r="B9" s="99"/>
      <c r="C9" s="99"/>
      <c r="D9" s="99"/>
      <c r="E9" s="99"/>
      <c r="F9" s="99"/>
      <c r="G9" s="99"/>
      <c r="H9" s="99"/>
      <c r="I9" s="99"/>
      <c r="J9" s="99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7"/>
    </row>
    <row r="10" spans="1:32" s="101" customFormat="1" ht="215.25" customHeight="1">
      <c r="A10" s="67" t="s">
        <v>25</v>
      </c>
      <c r="B10" s="98">
        <f>B11</f>
        <v>65475.60510000001</v>
      </c>
      <c r="C10" s="98">
        <f aca="true" t="shared" si="2" ref="C10:AE10">C11</f>
        <v>65475.60510000001</v>
      </c>
      <c r="D10" s="98">
        <f>D11</f>
        <v>65367.17999999999</v>
      </c>
      <c r="E10" s="98">
        <f t="shared" si="2"/>
        <v>65367.17999999999</v>
      </c>
      <c r="F10" s="98">
        <f t="shared" si="2"/>
        <v>99.83440382134015</v>
      </c>
      <c r="G10" s="98">
        <f t="shared" si="2"/>
        <v>99.83440382134015</v>
      </c>
      <c r="H10" s="98">
        <f t="shared" si="2"/>
        <v>2320.5</v>
      </c>
      <c r="I10" s="98">
        <f t="shared" si="2"/>
        <v>2316.04</v>
      </c>
      <c r="J10" s="98">
        <f t="shared" si="2"/>
        <v>8328.873</v>
      </c>
      <c r="K10" s="98">
        <f t="shared" si="2"/>
        <v>8294.69</v>
      </c>
      <c r="L10" s="98">
        <f t="shared" si="2"/>
        <v>8309.543</v>
      </c>
      <c r="M10" s="98">
        <f t="shared" si="2"/>
        <v>8285.84</v>
      </c>
      <c r="N10" s="98">
        <f t="shared" si="2"/>
        <v>8492.193</v>
      </c>
      <c r="O10" s="98">
        <f t="shared" si="2"/>
        <v>8348.53</v>
      </c>
      <c r="P10" s="98">
        <f t="shared" si="2"/>
        <v>8487.593</v>
      </c>
      <c r="Q10" s="98">
        <f t="shared" si="2"/>
        <v>8270.05</v>
      </c>
      <c r="R10" s="98">
        <f t="shared" si="2"/>
        <v>17084.11381</v>
      </c>
      <c r="S10" s="98">
        <f t="shared" si="2"/>
        <v>17424.64</v>
      </c>
      <c r="T10" s="98">
        <f t="shared" si="2"/>
        <v>2031.243</v>
      </c>
      <c r="U10" s="98">
        <f t="shared" si="2"/>
        <v>0</v>
      </c>
      <c r="V10" s="98">
        <f t="shared" si="2"/>
        <v>2031.743</v>
      </c>
      <c r="W10" s="98">
        <f t="shared" si="2"/>
        <v>1934.8</v>
      </c>
      <c r="X10" s="98">
        <f t="shared" si="2"/>
        <v>2031.743</v>
      </c>
      <c r="Y10" s="98">
        <f t="shared" si="2"/>
        <v>2027.87</v>
      </c>
      <c r="Z10" s="98">
        <f t="shared" si="2"/>
        <v>1930.05</v>
      </c>
      <c r="AA10" s="98">
        <f t="shared" si="2"/>
        <v>2073.7</v>
      </c>
      <c r="AB10" s="98">
        <f t="shared" si="2"/>
        <v>1213.95029</v>
      </c>
      <c r="AC10" s="98">
        <f t="shared" si="2"/>
        <v>2160.06</v>
      </c>
      <c r="AD10" s="98">
        <f t="shared" si="2"/>
        <v>3214.06</v>
      </c>
      <c r="AE10" s="98">
        <f t="shared" si="2"/>
        <v>4230.96</v>
      </c>
      <c r="AF10" s="52" t="s">
        <v>66</v>
      </c>
    </row>
    <row r="11" spans="1:32" s="101" customFormat="1" ht="24" customHeight="1">
      <c r="A11" s="10" t="s">
        <v>26</v>
      </c>
      <c r="B11" s="99">
        <f>B12+B13+B14+B15</f>
        <v>65475.60510000001</v>
      </c>
      <c r="C11" s="99">
        <f>C12+C13+C14+C15</f>
        <v>65475.60510000001</v>
      </c>
      <c r="D11" s="99">
        <f>D12+D13+D14+D15</f>
        <v>65367.17999999999</v>
      </c>
      <c r="E11" s="99">
        <f>E12+E13+E14+E15</f>
        <v>65367.17999999999</v>
      </c>
      <c r="F11" s="99">
        <f aca="true" t="shared" si="3" ref="F11:AD11">F12+F13+F14+F15</f>
        <v>99.83440382134015</v>
      </c>
      <c r="G11" s="99">
        <f>G12+G13+G14+G15</f>
        <v>99.83440382134015</v>
      </c>
      <c r="H11" s="99">
        <f t="shared" si="3"/>
        <v>2320.5</v>
      </c>
      <c r="I11" s="99">
        <f t="shared" si="3"/>
        <v>2316.04</v>
      </c>
      <c r="J11" s="99">
        <f t="shared" si="3"/>
        <v>8328.873</v>
      </c>
      <c r="K11" s="99">
        <f t="shared" si="3"/>
        <v>8294.69</v>
      </c>
      <c r="L11" s="99">
        <f t="shared" si="3"/>
        <v>8309.543</v>
      </c>
      <c r="M11" s="99">
        <f t="shared" si="3"/>
        <v>8285.84</v>
      </c>
      <c r="N11" s="99">
        <f t="shared" si="3"/>
        <v>8492.193</v>
      </c>
      <c r="O11" s="99">
        <f t="shared" si="3"/>
        <v>8348.53</v>
      </c>
      <c r="P11" s="99">
        <f t="shared" si="3"/>
        <v>8487.593</v>
      </c>
      <c r="Q11" s="99">
        <f t="shared" si="3"/>
        <v>8270.05</v>
      </c>
      <c r="R11" s="99">
        <f t="shared" si="3"/>
        <v>17084.11381</v>
      </c>
      <c r="S11" s="99">
        <f t="shared" si="3"/>
        <v>17424.64</v>
      </c>
      <c r="T11" s="99">
        <f t="shared" si="3"/>
        <v>2031.243</v>
      </c>
      <c r="U11" s="99">
        <f t="shared" si="3"/>
        <v>0</v>
      </c>
      <c r="V11" s="99">
        <f t="shared" si="3"/>
        <v>2031.743</v>
      </c>
      <c r="W11" s="99">
        <f t="shared" si="3"/>
        <v>1934.8</v>
      </c>
      <c r="X11" s="99">
        <f t="shared" si="3"/>
        <v>2031.743</v>
      </c>
      <c r="Y11" s="99">
        <f t="shared" si="3"/>
        <v>2027.87</v>
      </c>
      <c r="Z11" s="99">
        <f t="shared" si="3"/>
        <v>1930.05</v>
      </c>
      <c r="AA11" s="99">
        <f t="shared" si="3"/>
        <v>2073.7</v>
      </c>
      <c r="AB11" s="99">
        <f t="shared" si="3"/>
        <v>1213.95029</v>
      </c>
      <c r="AC11" s="99">
        <f t="shared" si="3"/>
        <v>2160.06</v>
      </c>
      <c r="AD11" s="99">
        <f t="shared" si="3"/>
        <v>3214.06</v>
      </c>
      <c r="AE11" s="99">
        <f>AE12+AE13+AE14+AE15</f>
        <v>4230.96</v>
      </c>
      <c r="AF11" s="16"/>
    </row>
    <row r="12" spans="1:32" s="51" customFormat="1" ht="18" customHeight="1">
      <c r="A12" s="68" t="s">
        <v>27</v>
      </c>
      <c r="B12" s="82">
        <f>H12+J12+L12+N12+P12+R12+T12+V12+X12+Z12+AB12+AD12</f>
        <v>65475.60510000001</v>
      </c>
      <c r="C12" s="82">
        <f>H12+J12+L12+N12+P12+R12+T12+V12+X12+Z12+AB12+AD12</f>
        <v>65475.60510000001</v>
      </c>
      <c r="D12" s="82">
        <f>E12</f>
        <v>65367.17999999999</v>
      </c>
      <c r="E12" s="82">
        <f>I12+K12+M12+O12+Q12+S12+U12+W12+Y12+AA12+AC12+AE12</f>
        <v>65367.17999999999</v>
      </c>
      <c r="F12" s="82">
        <f>(I12+K12+M12+O12+Q12+S12+U12+W12+Y12+AA12+AC12+AE12)/B12*100</f>
        <v>99.83440382134015</v>
      </c>
      <c r="G12" s="82">
        <f>(I12+K12+M12+O12+Q12+S12+U12+W12+Y12+AA12+AC12+AE12)/C12*100</f>
        <v>99.83440382134015</v>
      </c>
      <c r="H12" s="82">
        <v>2320.5</v>
      </c>
      <c r="I12" s="82">
        <v>2316.04</v>
      </c>
      <c r="J12" s="82">
        <v>8328.873</v>
      </c>
      <c r="K12" s="82">
        <v>8294.69</v>
      </c>
      <c r="L12" s="82">
        <v>8309.543</v>
      </c>
      <c r="M12" s="82">
        <v>8285.84</v>
      </c>
      <c r="N12" s="82">
        <v>8492.193</v>
      </c>
      <c r="O12" s="82">
        <v>8348.53</v>
      </c>
      <c r="P12" s="82">
        <v>8487.593</v>
      </c>
      <c r="Q12" s="82">
        <v>8270.05</v>
      </c>
      <c r="R12" s="82">
        <v>17084.11381</v>
      </c>
      <c r="S12" s="82">
        <v>17424.64</v>
      </c>
      <c r="T12" s="82">
        <v>2031.243</v>
      </c>
      <c r="U12" s="82">
        <v>0</v>
      </c>
      <c r="V12" s="82">
        <v>2031.743</v>
      </c>
      <c r="W12" s="82">
        <v>1934.8</v>
      </c>
      <c r="X12" s="82">
        <v>2031.743</v>
      </c>
      <c r="Y12" s="82">
        <v>2027.87</v>
      </c>
      <c r="Z12" s="82">
        <v>1930.05</v>
      </c>
      <c r="AA12" s="82">
        <v>2073.7</v>
      </c>
      <c r="AB12" s="82">
        <v>1213.95029</v>
      </c>
      <c r="AC12" s="82">
        <v>2160.06</v>
      </c>
      <c r="AD12" s="82">
        <v>3214.06</v>
      </c>
      <c r="AE12" s="82">
        <v>4230.96</v>
      </c>
      <c r="AF12" s="57"/>
    </row>
    <row r="13" spans="1:32" s="7" customFormat="1" ht="20.25" customHeight="1">
      <c r="A13" s="64" t="s">
        <v>28</v>
      </c>
      <c r="B13" s="82"/>
      <c r="C13" s="82"/>
      <c r="D13" s="82"/>
      <c r="E13" s="82"/>
      <c r="F13" s="82"/>
      <c r="G13" s="82"/>
      <c r="H13" s="88"/>
      <c r="I13" s="88"/>
      <c r="J13" s="88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36"/>
    </row>
    <row r="14" spans="1:32" s="7" customFormat="1" ht="20.25" customHeight="1">
      <c r="A14" s="64" t="s">
        <v>29</v>
      </c>
      <c r="B14" s="82"/>
      <c r="C14" s="82"/>
      <c r="D14" s="82"/>
      <c r="E14" s="82"/>
      <c r="F14" s="82"/>
      <c r="G14" s="82"/>
      <c r="H14" s="88"/>
      <c r="I14" s="88"/>
      <c r="J14" s="88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36"/>
    </row>
    <row r="15" spans="1:32" s="7" customFormat="1" ht="20.25" customHeight="1">
      <c r="A15" s="64" t="s">
        <v>30</v>
      </c>
      <c r="B15" s="82"/>
      <c r="C15" s="82"/>
      <c r="D15" s="82"/>
      <c r="E15" s="82"/>
      <c r="F15" s="82"/>
      <c r="G15" s="82"/>
      <c r="H15" s="88"/>
      <c r="I15" s="88"/>
      <c r="J15" s="88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36"/>
    </row>
    <row r="16" spans="1:32" s="108" customFormat="1" ht="68.25" customHeight="1">
      <c r="A16" s="67" t="s">
        <v>31</v>
      </c>
      <c r="B16" s="98">
        <f>B17</f>
        <v>1294.18</v>
      </c>
      <c r="C16" s="98">
        <f aca="true" t="shared" si="4" ref="C16:AE16">C17</f>
        <v>1294.18</v>
      </c>
      <c r="D16" s="98">
        <f t="shared" si="4"/>
        <v>1294.18</v>
      </c>
      <c r="E16" s="98">
        <f t="shared" si="4"/>
        <v>1294.18</v>
      </c>
      <c r="F16" s="98">
        <f t="shared" si="4"/>
        <v>100</v>
      </c>
      <c r="G16" s="98">
        <f t="shared" si="4"/>
        <v>100</v>
      </c>
      <c r="H16" s="98">
        <f t="shared" si="4"/>
        <v>0</v>
      </c>
      <c r="I16" s="98">
        <f t="shared" si="4"/>
        <v>0</v>
      </c>
      <c r="J16" s="98">
        <f t="shared" si="4"/>
        <v>397</v>
      </c>
      <c r="K16" s="98">
        <f t="shared" si="4"/>
        <v>396.44</v>
      </c>
      <c r="L16" s="98">
        <f t="shared" si="4"/>
        <v>152.63</v>
      </c>
      <c r="M16" s="98">
        <f t="shared" si="4"/>
        <v>152.23</v>
      </c>
      <c r="N16" s="98">
        <f t="shared" si="4"/>
        <v>152</v>
      </c>
      <c r="O16" s="98">
        <f t="shared" si="4"/>
        <v>152.23</v>
      </c>
      <c r="P16" s="98">
        <f t="shared" si="4"/>
        <v>417.4</v>
      </c>
      <c r="Q16" s="98">
        <f t="shared" si="4"/>
        <v>418.1</v>
      </c>
      <c r="R16" s="98">
        <f t="shared" si="4"/>
        <v>175.15</v>
      </c>
      <c r="S16" s="98">
        <f t="shared" si="4"/>
        <v>175.18</v>
      </c>
      <c r="T16" s="98">
        <f t="shared" si="4"/>
        <v>0</v>
      </c>
      <c r="U16" s="98">
        <f t="shared" si="4"/>
        <v>0</v>
      </c>
      <c r="V16" s="98">
        <f t="shared" si="4"/>
        <v>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52" t="s">
        <v>74</v>
      </c>
    </row>
    <row r="17" spans="1:32" s="108" customFormat="1" ht="22.5" customHeight="1">
      <c r="A17" s="10" t="s">
        <v>26</v>
      </c>
      <c r="B17" s="99">
        <f>B18+B19+B20+B21</f>
        <v>1294.18</v>
      </c>
      <c r="C17" s="99">
        <f>C18+C19+C20+C21</f>
        <v>1294.18</v>
      </c>
      <c r="D17" s="99">
        <f>D18+D19+D20+D21</f>
        <v>1294.18</v>
      </c>
      <c r="E17" s="99">
        <f>E18+E19+E20+E21</f>
        <v>1294.18</v>
      </c>
      <c r="F17" s="99">
        <f aca="true" t="shared" si="5" ref="F17:AE17">F18+F19+F20+F21</f>
        <v>100</v>
      </c>
      <c r="G17" s="99">
        <f>G18+G19+G20+G21</f>
        <v>100</v>
      </c>
      <c r="H17" s="99">
        <f t="shared" si="5"/>
        <v>0</v>
      </c>
      <c r="I17" s="99">
        <f t="shared" si="5"/>
        <v>0</v>
      </c>
      <c r="J17" s="99">
        <f t="shared" si="5"/>
        <v>397</v>
      </c>
      <c r="K17" s="99">
        <f t="shared" si="5"/>
        <v>396.44</v>
      </c>
      <c r="L17" s="99">
        <v>152.63</v>
      </c>
      <c r="M17" s="99">
        <f t="shared" si="5"/>
        <v>152.23</v>
      </c>
      <c r="N17" s="99">
        <f t="shared" si="5"/>
        <v>152</v>
      </c>
      <c r="O17" s="99">
        <f t="shared" si="5"/>
        <v>152.23</v>
      </c>
      <c r="P17" s="99">
        <f t="shared" si="5"/>
        <v>417.4</v>
      </c>
      <c r="Q17" s="99">
        <f t="shared" si="5"/>
        <v>418.1</v>
      </c>
      <c r="R17" s="99">
        <v>175.15</v>
      </c>
      <c r="S17" s="99">
        <f t="shared" si="5"/>
        <v>175.18</v>
      </c>
      <c r="T17" s="99">
        <f t="shared" si="5"/>
        <v>0</v>
      </c>
      <c r="U17" s="99">
        <f t="shared" si="5"/>
        <v>0</v>
      </c>
      <c r="V17" s="99">
        <f t="shared" si="5"/>
        <v>0</v>
      </c>
      <c r="W17" s="99">
        <f t="shared" si="5"/>
        <v>0</v>
      </c>
      <c r="X17" s="99">
        <v>0</v>
      </c>
      <c r="Y17" s="99">
        <f t="shared" si="5"/>
        <v>0</v>
      </c>
      <c r="Z17" s="99">
        <f t="shared" si="5"/>
        <v>0</v>
      </c>
      <c r="AA17" s="99">
        <f t="shared" si="5"/>
        <v>0</v>
      </c>
      <c r="AB17" s="99">
        <f t="shared" si="5"/>
        <v>0</v>
      </c>
      <c r="AC17" s="99">
        <f>AC18+AC19+AC20+AC21</f>
        <v>0</v>
      </c>
      <c r="AD17" s="99">
        <f t="shared" si="5"/>
        <v>0</v>
      </c>
      <c r="AE17" s="99">
        <f t="shared" si="5"/>
        <v>0</v>
      </c>
      <c r="AF17" s="36"/>
    </row>
    <row r="18" spans="1:32" s="7" customFormat="1" ht="21" customHeight="1">
      <c r="A18" s="64" t="s">
        <v>27</v>
      </c>
      <c r="B18" s="82"/>
      <c r="C18" s="82"/>
      <c r="D18" s="82"/>
      <c r="E18" s="82"/>
      <c r="F18" s="82"/>
      <c r="G18" s="82"/>
      <c r="H18" s="88"/>
      <c r="I18" s="88"/>
      <c r="J18" s="88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36"/>
    </row>
    <row r="19" spans="1:32" s="7" customFormat="1" ht="17.25" customHeight="1">
      <c r="A19" s="64" t="s">
        <v>28</v>
      </c>
      <c r="B19" s="82"/>
      <c r="C19" s="82"/>
      <c r="D19" s="82"/>
      <c r="E19" s="82"/>
      <c r="F19" s="82"/>
      <c r="G19" s="82"/>
      <c r="H19" s="88"/>
      <c r="I19" s="88"/>
      <c r="J19" s="88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36"/>
    </row>
    <row r="20" spans="1:32" s="44" customFormat="1" ht="20.25" customHeight="1">
      <c r="A20" s="64" t="s">
        <v>29</v>
      </c>
      <c r="B20" s="82">
        <f>H20+J20+L20+N20+P20+R20+T20+V20+X20+Z20+AB20+AD20</f>
        <v>1294.18</v>
      </c>
      <c r="C20" s="82">
        <f>J20+L20+N20+P20+R20</f>
        <v>1294.18</v>
      </c>
      <c r="D20" s="82">
        <f>E20</f>
        <v>1294.18</v>
      </c>
      <c r="E20" s="82">
        <f>K20+M20+O20+Q20+S20</f>
        <v>1294.18</v>
      </c>
      <c r="F20" s="82">
        <f>(K20+M20+O20+Q20+S20+U20+W20+Y20)/B20*100</f>
        <v>100</v>
      </c>
      <c r="G20" s="82">
        <f>(K20+M20+O20+Q20+S20)/C20*100</f>
        <v>100</v>
      </c>
      <c r="H20" s="82">
        <v>0</v>
      </c>
      <c r="I20" s="82">
        <v>0</v>
      </c>
      <c r="J20" s="82">
        <v>397</v>
      </c>
      <c r="K20" s="82">
        <v>396.44</v>
      </c>
      <c r="L20" s="82">
        <v>152.63</v>
      </c>
      <c r="M20" s="82">
        <v>152.23</v>
      </c>
      <c r="N20" s="82">
        <v>152</v>
      </c>
      <c r="O20" s="82">
        <v>152.23</v>
      </c>
      <c r="P20" s="82">
        <v>417.4</v>
      </c>
      <c r="Q20" s="82">
        <v>418.1</v>
      </c>
      <c r="R20" s="82">
        <v>175.15</v>
      </c>
      <c r="S20" s="82">
        <v>175.18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45"/>
    </row>
    <row r="21" spans="1:32" s="7" customFormat="1" ht="19.5" customHeight="1">
      <c r="A21" s="64" t="s">
        <v>30</v>
      </c>
      <c r="B21" s="82"/>
      <c r="C21" s="82"/>
      <c r="D21" s="82"/>
      <c r="E21" s="82"/>
      <c r="F21" s="82"/>
      <c r="G21" s="82"/>
      <c r="H21" s="88"/>
      <c r="I21" s="88"/>
      <c r="J21" s="88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36"/>
    </row>
    <row r="22" spans="1:32" s="8" customFormat="1" ht="56.25" customHeight="1">
      <c r="A22" s="58" t="s">
        <v>32</v>
      </c>
      <c r="B22" s="100">
        <f>B23</f>
        <v>17992.09918</v>
      </c>
      <c r="C22" s="100">
        <f aca="true" t="shared" si="6" ref="C22:AE22">C23</f>
        <v>17992.09918</v>
      </c>
      <c r="D22" s="100">
        <f t="shared" si="6"/>
        <v>16055.970000000001</v>
      </c>
      <c r="E22" s="100">
        <f t="shared" si="6"/>
        <v>16055.970000000001</v>
      </c>
      <c r="F22" s="100">
        <f t="shared" si="6"/>
        <v>89.239003405716</v>
      </c>
      <c r="G22" s="100">
        <f t="shared" si="6"/>
        <v>89.239003405716</v>
      </c>
      <c r="H22" s="100">
        <f t="shared" si="6"/>
        <v>3060.54379</v>
      </c>
      <c r="I22" s="100">
        <f t="shared" si="6"/>
        <v>2349.05</v>
      </c>
      <c r="J22" s="100">
        <f t="shared" si="6"/>
        <v>1438.16031</v>
      </c>
      <c r="K22" s="100">
        <f t="shared" si="6"/>
        <v>1457.04</v>
      </c>
      <c r="L22" s="100">
        <f t="shared" si="6"/>
        <v>769.90338</v>
      </c>
      <c r="M22" s="100">
        <f t="shared" si="6"/>
        <v>916.82</v>
      </c>
      <c r="N22" s="100">
        <f t="shared" si="6"/>
        <v>1645.37471</v>
      </c>
      <c r="O22" s="100">
        <f t="shared" si="6"/>
        <v>1637.32</v>
      </c>
      <c r="P22" s="100">
        <f t="shared" si="6"/>
        <v>1869.95262</v>
      </c>
      <c r="Q22" s="100">
        <f t="shared" si="6"/>
        <v>1460.44</v>
      </c>
      <c r="R22" s="100">
        <f t="shared" si="6"/>
        <v>1454.03161</v>
      </c>
      <c r="S22" s="100">
        <f t="shared" si="6"/>
        <v>1130.24</v>
      </c>
      <c r="T22" s="100">
        <f t="shared" si="6"/>
        <v>2660.07728</v>
      </c>
      <c r="U22" s="100">
        <f t="shared" si="6"/>
        <v>1631.6</v>
      </c>
      <c r="V22" s="100">
        <f t="shared" si="6"/>
        <v>1164.45717</v>
      </c>
      <c r="W22" s="100">
        <f t="shared" si="6"/>
        <v>1138.51</v>
      </c>
      <c r="X22" s="100">
        <f t="shared" si="6"/>
        <v>705.66727</v>
      </c>
      <c r="Y22" s="100">
        <f t="shared" si="6"/>
        <v>490.36</v>
      </c>
      <c r="Z22" s="100">
        <f t="shared" si="6"/>
        <v>1716.10104</v>
      </c>
      <c r="AA22" s="100">
        <f t="shared" si="6"/>
        <v>1412.29</v>
      </c>
      <c r="AB22" s="100">
        <f t="shared" si="6"/>
        <v>601.95</v>
      </c>
      <c r="AC22" s="100">
        <f t="shared" si="6"/>
        <v>849.41</v>
      </c>
      <c r="AD22" s="100">
        <f t="shared" si="6"/>
        <v>905.88</v>
      </c>
      <c r="AE22" s="100">
        <f t="shared" si="6"/>
        <v>1582.89</v>
      </c>
      <c r="AF22" s="38"/>
    </row>
    <row r="23" spans="1:32" s="8" customFormat="1" ht="57.75" customHeight="1">
      <c r="A23" s="67" t="s">
        <v>38</v>
      </c>
      <c r="B23" s="98">
        <f>B24</f>
        <v>17992.09918</v>
      </c>
      <c r="C23" s="98">
        <f aca="true" t="shared" si="7" ref="C23:AE23">C24</f>
        <v>17992.09918</v>
      </c>
      <c r="D23" s="98">
        <f t="shared" si="7"/>
        <v>16055.970000000001</v>
      </c>
      <c r="E23" s="98">
        <f t="shared" si="7"/>
        <v>16055.970000000001</v>
      </c>
      <c r="F23" s="98">
        <f t="shared" si="7"/>
        <v>89.239003405716</v>
      </c>
      <c r="G23" s="98">
        <f t="shared" si="7"/>
        <v>89.239003405716</v>
      </c>
      <c r="H23" s="98">
        <f t="shared" si="7"/>
        <v>3060.54379</v>
      </c>
      <c r="I23" s="98">
        <f t="shared" si="7"/>
        <v>2349.05</v>
      </c>
      <c r="J23" s="98">
        <f t="shared" si="7"/>
        <v>1438.16031</v>
      </c>
      <c r="K23" s="98">
        <f t="shared" si="7"/>
        <v>1457.04</v>
      </c>
      <c r="L23" s="98">
        <f t="shared" si="7"/>
        <v>769.90338</v>
      </c>
      <c r="M23" s="98">
        <f t="shared" si="7"/>
        <v>916.82</v>
      </c>
      <c r="N23" s="98">
        <f t="shared" si="7"/>
        <v>1645.37471</v>
      </c>
      <c r="O23" s="98">
        <f t="shared" si="7"/>
        <v>1637.32</v>
      </c>
      <c r="P23" s="98">
        <f t="shared" si="7"/>
        <v>1869.95262</v>
      </c>
      <c r="Q23" s="98">
        <f t="shared" si="7"/>
        <v>1460.44</v>
      </c>
      <c r="R23" s="98">
        <f t="shared" si="7"/>
        <v>1454.03161</v>
      </c>
      <c r="S23" s="98">
        <f t="shared" si="7"/>
        <v>1130.24</v>
      </c>
      <c r="T23" s="98">
        <f t="shared" si="7"/>
        <v>2660.07728</v>
      </c>
      <c r="U23" s="98">
        <f t="shared" si="7"/>
        <v>1631.6</v>
      </c>
      <c r="V23" s="98">
        <f t="shared" si="7"/>
        <v>1164.45717</v>
      </c>
      <c r="W23" s="98">
        <f t="shared" si="7"/>
        <v>1138.51</v>
      </c>
      <c r="X23" s="98">
        <f t="shared" si="7"/>
        <v>705.66727</v>
      </c>
      <c r="Y23" s="98">
        <f t="shared" si="7"/>
        <v>490.36</v>
      </c>
      <c r="Z23" s="98">
        <f t="shared" si="7"/>
        <v>1716.10104</v>
      </c>
      <c r="AA23" s="98">
        <f t="shared" si="7"/>
        <v>1412.29</v>
      </c>
      <c r="AB23" s="98">
        <f t="shared" si="7"/>
        <v>601.95</v>
      </c>
      <c r="AC23" s="98">
        <f t="shared" si="7"/>
        <v>849.41</v>
      </c>
      <c r="AD23" s="98">
        <f t="shared" si="7"/>
        <v>905.88</v>
      </c>
      <c r="AE23" s="98">
        <f t="shared" si="7"/>
        <v>1582.89</v>
      </c>
      <c r="AF23" s="52" t="s">
        <v>67</v>
      </c>
    </row>
    <row r="24" spans="1:32" s="7" customFormat="1" ht="23.25" customHeight="1">
      <c r="A24" s="10" t="s">
        <v>26</v>
      </c>
      <c r="B24" s="88">
        <f aca="true" t="shared" si="8" ref="B24:AE24">B25+B26+B27+B28</f>
        <v>17992.09918</v>
      </c>
      <c r="C24" s="88">
        <f>C25+C26+C27+C28</f>
        <v>17992.09918</v>
      </c>
      <c r="D24" s="88">
        <f t="shared" si="8"/>
        <v>16055.970000000001</v>
      </c>
      <c r="E24" s="88">
        <f t="shared" si="8"/>
        <v>16055.970000000001</v>
      </c>
      <c r="F24" s="88">
        <f>F25+F26+F27+F28</f>
        <v>89.239003405716</v>
      </c>
      <c r="G24" s="88">
        <f t="shared" si="8"/>
        <v>89.239003405716</v>
      </c>
      <c r="H24" s="88">
        <f>H25+H26+H27+H28</f>
        <v>3060.54379</v>
      </c>
      <c r="I24" s="88">
        <f t="shared" si="8"/>
        <v>2349.05</v>
      </c>
      <c r="J24" s="88">
        <f t="shared" si="8"/>
        <v>1438.16031</v>
      </c>
      <c r="K24" s="88">
        <f t="shared" si="8"/>
        <v>1457.04</v>
      </c>
      <c r="L24" s="88">
        <f t="shared" si="8"/>
        <v>769.90338</v>
      </c>
      <c r="M24" s="88">
        <f t="shared" si="8"/>
        <v>916.82</v>
      </c>
      <c r="N24" s="88">
        <f t="shared" si="8"/>
        <v>1645.37471</v>
      </c>
      <c r="O24" s="88">
        <f t="shared" si="8"/>
        <v>1637.32</v>
      </c>
      <c r="P24" s="88">
        <f t="shared" si="8"/>
        <v>1869.95262</v>
      </c>
      <c r="Q24" s="88">
        <f t="shared" si="8"/>
        <v>1460.44</v>
      </c>
      <c r="R24" s="88">
        <f t="shared" si="8"/>
        <v>1454.03161</v>
      </c>
      <c r="S24" s="88">
        <f t="shared" si="8"/>
        <v>1130.24</v>
      </c>
      <c r="T24" s="88">
        <f t="shared" si="8"/>
        <v>2660.07728</v>
      </c>
      <c r="U24" s="88">
        <f t="shared" si="8"/>
        <v>1631.6</v>
      </c>
      <c r="V24" s="88">
        <f t="shared" si="8"/>
        <v>1164.45717</v>
      </c>
      <c r="W24" s="88">
        <f t="shared" si="8"/>
        <v>1138.51</v>
      </c>
      <c r="X24" s="88">
        <f t="shared" si="8"/>
        <v>705.66727</v>
      </c>
      <c r="Y24" s="88">
        <f t="shared" si="8"/>
        <v>490.36</v>
      </c>
      <c r="Z24" s="88">
        <f t="shared" si="8"/>
        <v>1716.10104</v>
      </c>
      <c r="AA24" s="88">
        <f t="shared" si="8"/>
        <v>1412.29</v>
      </c>
      <c r="AB24" s="88">
        <f t="shared" si="8"/>
        <v>601.95</v>
      </c>
      <c r="AC24" s="88">
        <f t="shared" si="8"/>
        <v>849.41</v>
      </c>
      <c r="AD24" s="88">
        <f t="shared" si="8"/>
        <v>905.88</v>
      </c>
      <c r="AE24" s="88">
        <f t="shared" si="8"/>
        <v>1582.89</v>
      </c>
      <c r="AF24" s="37"/>
    </row>
    <row r="25" spans="1:32" s="51" customFormat="1" ht="18" customHeight="1">
      <c r="A25" s="68" t="s">
        <v>27</v>
      </c>
      <c r="B25" s="82">
        <f>H25+J25+L25+N25+P25+R25+T25+V25+X25+Z25+AB25+AD25</f>
        <v>17992.09918</v>
      </c>
      <c r="C25" s="82">
        <f>H25+J25+L25+N25+P25+R25+T25+V25+X25+Z25+AB25+AD25</f>
        <v>17992.09918</v>
      </c>
      <c r="D25" s="82">
        <f>E25</f>
        <v>16055.970000000001</v>
      </c>
      <c r="E25" s="82">
        <f>I25+K25+M25+O25+Q25+S25+U25+W25+Y25+AA25+AC25+AE25</f>
        <v>16055.970000000001</v>
      </c>
      <c r="F25" s="82">
        <f>(I25+K25+M25+O25+Q25+S25+U25+W25+Y25+AA25+AC25+AE25)/B25*100</f>
        <v>89.239003405716</v>
      </c>
      <c r="G25" s="82">
        <f>(I25+K25+M25+O25+Q25+S25+U25+W25+Y25+AA25+AC25+AE25)/C25*100</f>
        <v>89.239003405716</v>
      </c>
      <c r="H25" s="82">
        <v>3060.54379</v>
      </c>
      <c r="I25" s="82">
        <v>2349.05</v>
      </c>
      <c r="J25" s="82">
        <v>1438.16031</v>
      </c>
      <c r="K25" s="82">
        <v>1457.04</v>
      </c>
      <c r="L25" s="82">
        <v>769.90338</v>
      </c>
      <c r="M25" s="82">
        <v>916.82</v>
      </c>
      <c r="N25" s="82">
        <v>1645.37471</v>
      </c>
      <c r="O25" s="82">
        <v>1637.32</v>
      </c>
      <c r="P25" s="82">
        <v>1869.95262</v>
      </c>
      <c r="Q25" s="82">
        <v>1460.44</v>
      </c>
      <c r="R25" s="82">
        <v>1454.03161</v>
      </c>
      <c r="S25" s="82">
        <v>1130.24</v>
      </c>
      <c r="T25" s="82">
        <v>2660.07728</v>
      </c>
      <c r="U25" s="82">
        <v>1631.6</v>
      </c>
      <c r="V25" s="82">
        <v>1164.45717</v>
      </c>
      <c r="W25" s="82">
        <v>1138.51</v>
      </c>
      <c r="X25" s="82">
        <v>705.66727</v>
      </c>
      <c r="Y25" s="82">
        <v>490.36</v>
      </c>
      <c r="Z25" s="82">
        <v>1716.10104</v>
      </c>
      <c r="AA25" s="82">
        <v>1412.29</v>
      </c>
      <c r="AB25" s="82">
        <v>601.95</v>
      </c>
      <c r="AC25" s="82">
        <v>849.41</v>
      </c>
      <c r="AD25" s="82">
        <v>905.88</v>
      </c>
      <c r="AE25" s="82">
        <v>1582.89</v>
      </c>
      <c r="AF25" s="36"/>
    </row>
    <row r="26" spans="1:32" s="7" customFormat="1" ht="18" customHeight="1">
      <c r="A26" s="64" t="s">
        <v>28</v>
      </c>
      <c r="B26" s="82"/>
      <c r="C26" s="82"/>
      <c r="D26" s="82"/>
      <c r="E26" s="82"/>
      <c r="F26" s="82"/>
      <c r="G26" s="82"/>
      <c r="H26" s="88"/>
      <c r="I26" s="88"/>
      <c r="J26" s="88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36"/>
    </row>
    <row r="27" spans="1:32" s="7" customFormat="1" ht="18" customHeight="1">
      <c r="A27" s="64" t="s">
        <v>29</v>
      </c>
      <c r="B27" s="82"/>
      <c r="C27" s="82"/>
      <c r="D27" s="82"/>
      <c r="E27" s="82"/>
      <c r="F27" s="82"/>
      <c r="G27" s="82"/>
      <c r="H27" s="88"/>
      <c r="I27" s="88"/>
      <c r="J27" s="88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36"/>
    </row>
    <row r="28" spans="1:32" s="7" customFormat="1" ht="18" customHeight="1">
      <c r="A28" s="64" t="s">
        <v>30</v>
      </c>
      <c r="B28" s="82"/>
      <c r="C28" s="82"/>
      <c r="D28" s="82"/>
      <c r="E28" s="82"/>
      <c r="F28" s="82"/>
      <c r="G28" s="82"/>
      <c r="H28" s="88"/>
      <c r="I28" s="88"/>
      <c r="J28" s="88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36"/>
    </row>
    <row r="29" spans="1:32" s="8" customFormat="1" ht="51" customHeight="1">
      <c r="A29" s="58" t="s">
        <v>33</v>
      </c>
      <c r="B29" s="106">
        <f>B31+B39+B45</f>
        <v>26300.790000000005</v>
      </c>
      <c r="C29" s="106">
        <f aca="true" t="shared" si="9" ref="C29:AE29">C31+C39+C45</f>
        <v>26300.790000000005</v>
      </c>
      <c r="D29" s="106">
        <f t="shared" si="9"/>
        <v>25637.920000000002</v>
      </c>
      <c r="E29" s="106">
        <f t="shared" si="9"/>
        <v>25637.920000000002</v>
      </c>
      <c r="F29" s="106">
        <f t="shared" si="9"/>
        <v>292.84365725635</v>
      </c>
      <c r="G29" s="106">
        <f t="shared" si="9"/>
        <v>292.84365725635</v>
      </c>
      <c r="H29" s="106">
        <f t="shared" si="9"/>
        <v>100</v>
      </c>
      <c r="I29" s="106">
        <f t="shared" si="9"/>
        <v>0</v>
      </c>
      <c r="J29" s="106">
        <f t="shared" si="9"/>
        <v>146.3</v>
      </c>
      <c r="K29" s="106">
        <f t="shared" si="9"/>
        <v>139.26</v>
      </c>
      <c r="L29" s="106">
        <f t="shared" si="9"/>
        <v>3889.75</v>
      </c>
      <c r="M29" s="106">
        <f t="shared" si="9"/>
        <v>0</v>
      </c>
      <c r="N29" s="106">
        <f t="shared" si="9"/>
        <v>361.67999999999995</v>
      </c>
      <c r="O29" s="106">
        <f t="shared" si="9"/>
        <v>311.24</v>
      </c>
      <c r="P29" s="106">
        <f t="shared" si="9"/>
        <v>4319.99</v>
      </c>
      <c r="Q29" s="106">
        <f t="shared" si="9"/>
        <v>247.96</v>
      </c>
      <c r="R29" s="106">
        <f t="shared" si="9"/>
        <v>5404.839999999999</v>
      </c>
      <c r="S29" s="106">
        <f t="shared" si="9"/>
        <v>4188.450000000001</v>
      </c>
      <c r="T29" s="106">
        <f t="shared" si="9"/>
        <v>4685.030000000001</v>
      </c>
      <c r="U29" s="106">
        <f t="shared" si="9"/>
        <v>11491.4</v>
      </c>
      <c r="V29" s="106">
        <f t="shared" si="9"/>
        <v>6839.879999999999</v>
      </c>
      <c r="W29" s="106">
        <f t="shared" si="9"/>
        <v>4806.3</v>
      </c>
      <c r="X29" s="106">
        <f t="shared" si="9"/>
        <v>415.31</v>
      </c>
      <c r="Y29" s="106">
        <f t="shared" si="9"/>
        <v>1388.4099999999999</v>
      </c>
      <c r="Z29" s="106">
        <f t="shared" si="9"/>
        <v>0</v>
      </c>
      <c r="AA29" s="106">
        <f t="shared" si="9"/>
        <v>2613.8599999999997</v>
      </c>
      <c r="AB29" s="106">
        <f t="shared" si="9"/>
        <v>137.47</v>
      </c>
      <c r="AC29" s="106">
        <f t="shared" si="9"/>
        <v>450.5</v>
      </c>
      <c r="AD29" s="106">
        <f t="shared" si="9"/>
        <v>0.54</v>
      </c>
      <c r="AE29" s="106">
        <f t="shared" si="9"/>
        <v>0.54</v>
      </c>
      <c r="AF29" s="37"/>
    </row>
    <row r="30" spans="1:32" s="8" customFormat="1" ht="16.5" customHeight="1">
      <c r="A30" s="11" t="s">
        <v>24</v>
      </c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37"/>
    </row>
    <row r="31" spans="1:33" s="113" customFormat="1" ht="409.5" customHeight="1">
      <c r="A31" s="109" t="s">
        <v>39</v>
      </c>
      <c r="B31" s="110">
        <f>B32</f>
        <v>22619.9</v>
      </c>
      <c r="C31" s="110">
        <f aca="true" t="shared" si="10" ref="C31:AE31">C32</f>
        <v>22619.9</v>
      </c>
      <c r="D31" s="110">
        <f t="shared" si="10"/>
        <v>22037.03</v>
      </c>
      <c r="E31" s="110">
        <f>E32</f>
        <v>22037.03</v>
      </c>
      <c r="F31" s="110">
        <f t="shared" si="10"/>
        <v>97.4231981573747</v>
      </c>
      <c r="G31" s="110">
        <f t="shared" si="10"/>
        <v>97.4231981573747</v>
      </c>
      <c r="H31" s="110">
        <f t="shared" si="10"/>
        <v>0</v>
      </c>
      <c r="I31" s="110">
        <f t="shared" si="10"/>
        <v>0</v>
      </c>
      <c r="J31" s="110">
        <f t="shared" si="10"/>
        <v>14.97</v>
      </c>
      <c r="K31" s="110">
        <f t="shared" si="10"/>
        <v>14.97</v>
      </c>
      <c r="L31" s="110">
        <f t="shared" si="10"/>
        <v>3889.75</v>
      </c>
      <c r="M31" s="110">
        <f t="shared" si="10"/>
        <v>0</v>
      </c>
      <c r="N31" s="110">
        <f t="shared" si="10"/>
        <v>258.9</v>
      </c>
      <c r="O31" s="110">
        <f t="shared" si="10"/>
        <v>208.47000000000003</v>
      </c>
      <c r="P31" s="110">
        <f t="shared" si="10"/>
        <v>2886.44</v>
      </c>
      <c r="Q31" s="110">
        <f t="shared" si="10"/>
        <v>170.9</v>
      </c>
      <c r="R31" s="110">
        <f t="shared" si="10"/>
        <v>5382.719999999999</v>
      </c>
      <c r="S31" s="110">
        <f t="shared" si="10"/>
        <v>3126.6000000000004</v>
      </c>
      <c r="T31" s="110">
        <f t="shared" si="10"/>
        <v>4329.05</v>
      </c>
      <c r="U31" s="110">
        <f t="shared" si="10"/>
        <v>10890.74</v>
      </c>
      <c r="V31" s="110">
        <f t="shared" si="10"/>
        <v>5639.15</v>
      </c>
      <c r="W31" s="110">
        <f t="shared" si="10"/>
        <v>4453.9400000000005</v>
      </c>
      <c r="X31" s="110">
        <f t="shared" si="10"/>
        <v>81.45</v>
      </c>
      <c r="Y31" s="110">
        <f t="shared" si="10"/>
        <v>132.48000000000002</v>
      </c>
      <c r="Z31" s="110">
        <f t="shared" si="10"/>
        <v>0</v>
      </c>
      <c r="AA31" s="110">
        <f t="shared" si="10"/>
        <v>2588.43</v>
      </c>
      <c r="AB31" s="110">
        <f t="shared" si="10"/>
        <v>137.47</v>
      </c>
      <c r="AC31" s="110">
        <f t="shared" si="10"/>
        <v>450.5</v>
      </c>
      <c r="AD31" s="110">
        <f t="shared" si="10"/>
        <v>0</v>
      </c>
      <c r="AE31" s="110">
        <f t="shared" si="10"/>
        <v>0</v>
      </c>
      <c r="AF31" s="111" t="s">
        <v>72</v>
      </c>
      <c r="AG31" s="112">
        <f>C31-E31</f>
        <v>582.8700000000026</v>
      </c>
    </row>
    <row r="32" spans="1:32" s="7" customFormat="1" ht="19.5" customHeight="1">
      <c r="A32" s="10" t="s">
        <v>26</v>
      </c>
      <c r="B32" s="88">
        <f>B33+B34+B37+B38</f>
        <v>22619.9</v>
      </c>
      <c r="C32" s="88">
        <f aca="true" t="shared" si="11" ref="C32:AE32">C33+C34+C37+C38</f>
        <v>22619.9</v>
      </c>
      <c r="D32" s="88">
        <f>D33+D34+D37+D38</f>
        <v>22037.03</v>
      </c>
      <c r="E32" s="88">
        <f>E33+E34+E37+E38</f>
        <v>22037.03</v>
      </c>
      <c r="F32" s="88">
        <f>(I32+K32+M32+O32+Q32+S32+U32+W32+Y32+AA32+AC32)/B32*100</f>
        <v>97.4231981573747</v>
      </c>
      <c r="G32" s="90">
        <f>(K32+M32+O32+Q32+S32+U32+W32+Y32+AA32+AC32)/C32*100</f>
        <v>97.4231981573747</v>
      </c>
      <c r="H32" s="88">
        <f t="shared" si="11"/>
        <v>0</v>
      </c>
      <c r="I32" s="88">
        <f t="shared" si="11"/>
        <v>0</v>
      </c>
      <c r="J32" s="88">
        <f t="shared" si="11"/>
        <v>14.97</v>
      </c>
      <c r="K32" s="88">
        <f t="shared" si="11"/>
        <v>14.97</v>
      </c>
      <c r="L32" s="88">
        <f t="shared" si="11"/>
        <v>3889.75</v>
      </c>
      <c r="M32" s="88">
        <f t="shared" si="11"/>
        <v>0</v>
      </c>
      <c r="N32" s="88">
        <f t="shared" si="11"/>
        <v>258.9</v>
      </c>
      <c r="O32" s="88">
        <f t="shared" si="11"/>
        <v>208.47000000000003</v>
      </c>
      <c r="P32" s="88">
        <f>P33+P34+P37+P38</f>
        <v>2886.44</v>
      </c>
      <c r="Q32" s="88">
        <f t="shared" si="11"/>
        <v>170.9</v>
      </c>
      <c r="R32" s="88">
        <f t="shared" si="11"/>
        <v>5382.719999999999</v>
      </c>
      <c r="S32" s="88">
        <f t="shared" si="11"/>
        <v>3126.6000000000004</v>
      </c>
      <c r="T32" s="88">
        <f t="shared" si="11"/>
        <v>4329.05</v>
      </c>
      <c r="U32" s="88">
        <f t="shared" si="11"/>
        <v>10890.74</v>
      </c>
      <c r="V32" s="88">
        <f t="shared" si="11"/>
        <v>5639.15</v>
      </c>
      <c r="W32" s="88">
        <f t="shared" si="11"/>
        <v>4453.9400000000005</v>
      </c>
      <c r="X32" s="88">
        <f t="shared" si="11"/>
        <v>81.45</v>
      </c>
      <c r="Y32" s="88">
        <f t="shared" si="11"/>
        <v>132.48000000000002</v>
      </c>
      <c r="Z32" s="88">
        <f t="shared" si="11"/>
        <v>0</v>
      </c>
      <c r="AA32" s="88">
        <f t="shared" si="11"/>
        <v>2588.43</v>
      </c>
      <c r="AB32" s="88">
        <f t="shared" si="11"/>
        <v>137.47</v>
      </c>
      <c r="AC32" s="88">
        <f t="shared" si="11"/>
        <v>450.5</v>
      </c>
      <c r="AD32" s="88">
        <f t="shared" si="11"/>
        <v>0</v>
      </c>
      <c r="AE32" s="91">
        <f t="shared" si="11"/>
        <v>0</v>
      </c>
      <c r="AF32" s="62"/>
    </row>
    <row r="33" spans="1:32" s="53" customFormat="1" ht="20.25" customHeight="1">
      <c r="A33" s="64" t="s">
        <v>27</v>
      </c>
      <c r="B33" s="82">
        <f>H33+J33+L33+N33+P33+R33+T33+V33+X33+Z33+AB33+AD33</f>
        <v>11281</v>
      </c>
      <c r="C33" s="82">
        <f>H33+J33+L33+N33+P33+R33+T33+V33+X33+Z33+AB33</f>
        <v>11281</v>
      </c>
      <c r="D33" s="82">
        <f>E33</f>
        <v>10753.19</v>
      </c>
      <c r="E33" s="82">
        <f>I33+K33+M33+O33+Q33+S33+U33+W33+Y33+AA33</f>
        <v>10753.19</v>
      </c>
      <c r="F33" s="82">
        <f>(I33+K33+M33+O33+Q33+S33+U33+W33+Y33+AA33+AC33)/B33*100</f>
        <v>95.32124811630175</v>
      </c>
      <c r="G33" s="84">
        <f>(K33+M33+O33+Q33+S33+U33+W33+Y33+AA33+AC33)/C33*100</f>
        <v>95.32124811630175</v>
      </c>
      <c r="H33" s="82">
        <v>0</v>
      </c>
      <c r="I33" s="82">
        <v>0</v>
      </c>
      <c r="J33" s="82">
        <v>0</v>
      </c>
      <c r="K33" s="82">
        <v>0</v>
      </c>
      <c r="L33" s="82">
        <v>3206</v>
      </c>
      <c r="M33" s="82">
        <v>0</v>
      </c>
      <c r="N33" s="82">
        <v>36.2</v>
      </c>
      <c r="O33" s="82">
        <v>172.27</v>
      </c>
      <c r="P33" s="82">
        <v>2407.81</v>
      </c>
      <c r="Q33" s="82">
        <v>0</v>
      </c>
      <c r="R33" s="82">
        <v>1400</v>
      </c>
      <c r="S33" s="82">
        <f>641+553.09</f>
        <v>1194.0900000000001</v>
      </c>
      <c r="T33" s="82">
        <v>1640.97</v>
      </c>
      <c r="U33" s="82">
        <f>3610.93+3226.7</f>
        <v>6837.629999999999</v>
      </c>
      <c r="V33" s="82">
        <v>2371.1</v>
      </c>
      <c r="W33" s="82">
        <v>1717.41</v>
      </c>
      <c r="X33" s="82">
        <v>81.45</v>
      </c>
      <c r="Y33" s="82">
        <v>84.09</v>
      </c>
      <c r="Z33" s="82">
        <v>0</v>
      </c>
      <c r="AA33" s="82">
        <f>684.17+63.53</f>
        <v>747.6999999999999</v>
      </c>
      <c r="AB33" s="82">
        <v>137.47</v>
      </c>
      <c r="AC33" s="82">
        <v>0</v>
      </c>
      <c r="AD33" s="82">
        <v>0</v>
      </c>
      <c r="AE33" s="83">
        <v>0</v>
      </c>
      <c r="AF33" s="61"/>
    </row>
    <row r="34" spans="1:32" s="53" customFormat="1" ht="20.25" customHeight="1">
      <c r="A34" s="65" t="s">
        <v>28</v>
      </c>
      <c r="B34" s="84">
        <f>H34+J34+L34+N34+P34+R34+T34+V34+X34+Z34+AB34+AD34</f>
        <v>11338.900000000001</v>
      </c>
      <c r="C34" s="84">
        <f>H34+J34+L34+N34+P34+R34+T34+V34+X34+Z34+AB34</f>
        <v>11338.900000000001</v>
      </c>
      <c r="D34" s="82">
        <f>E34</f>
        <v>11283.84</v>
      </c>
      <c r="E34" s="84">
        <f>I34+K34+M34+O34+Q34+S34+U34+W34+Y34+AA34+AC34</f>
        <v>11283.84</v>
      </c>
      <c r="F34" s="82">
        <f>(I34+K34+M34+O34+Q34+S34+U34+W34+Y34+AA34+AC34)/B34*100</f>
        <v>99.51441497852525</v>
      </c>
      <c r="G34" s="84">
        <f>(K34+M34+O34+Q34+S34+U34+W34+Y34+AA34+AC34)/C34*100</f>
        <v>99.51441497852525</v>
      </c>
      <c r="H34" s="84">
        <v>0</v>
      </c>
      <c r="I34" s="84">
        <v>0</v>
      </c>
      <c r="J34" s="84">
        <v>14.97</v>
      </c>
      <c r="K34" s="84">
        <v>14.97</v>
      </c>
      <c r="L34" s="84">
        <v>683.75</v>
      </c>
      <c r="M34" s="84">
        <v>0</v>
      </c>
      <c r="N34" s="84">
        <v>222.7</v>
      </c>
      <c r="O34" s="84">
        <v>36.2</v>
      </c>
      <c r="P34" s="84">
        <v>478.63</v>
      </c>
      <c r="Q34" s="84">
        <v>170.9</v>
      </c>
      <c r="R34" s="84">
        <v>3982.72</v>
      </c>
      <c r="S34" s="84">
        <f>1805.72+126.79</f>
        <v>1932.51</v>
      </c>
      <c r="T34" s="84">
        <v>2688.08</v>
      </c>
      <c r="U34" s="84">
        <f>3644.01+409.1</f>
        <v>4053.11</v>
      </c>
      <c r="V34" s="84">
        <v>3268.05</v>
      </c>
      <c r="W34" s="84">
        <v>2736.53</v>
      </c>
      <c r="X34" s="84">
        <v>0</v>
      </c>
      <c r="Y34" s="84">
        <v>48.39</v>
      </c>
      <c r="Z34" s="84">
        <v>0</v>
      </c>
      <c r="AA34" s="84">
        <f>1751.08+89.65</f>
        <v>1840.73</v>
      </c>
      <c r="AB34" s="84">
        <v>0</v>
      </c>
      <c r="AC34" s="84">
        <f>413.96+36.54</f>
        <v>450.5</v>
      </c>
      <c r="AD34" s="84">
        <v>0</v>
      </c>
      <c r="AE34" s="85">
        <v>0</v>
      </c>
      <c r="AF34" s="61"/>
    </row>
    <row r="35" spans="1:32" s="49" customFormat="1" ht="20.25" customHeight="1">
      <c r="A35" s="66" t="s">
        <v>45</v>
      </c>
      <c r="B35" s="86">
        <v>2163.5</v>
      </c>
      <c r="C35" s="86">
        <v>2163.5</v>
      </c>
      <c r="D35" s="86">
        <v>1830.77</v>
      </c>
      <c r="E35" s="86">
        <v>1830.7</v>
      </c>
      <c r="F35" s="92">
        <f>E35/(B35/100)</f>
        <v>84.6175179107927</v>
      </c>
      <c r="G35" s="92">
        <f>E35/(D35/100)</f>
        <v>99.99617647219476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59"/>
    </row>
    <row r="36" spans="1:35" s="55" customFormat="1" ht="20.25" customHeight="1">
      <c r="A36" s="66" t="s">
        <v>46</v>
      </c>
      <c r="B36" s="86">
        <f>N36+P36+R36+T36+V36</f>
        <v>1931.17</v>
      </c>
      <c r="C36" s="92">
        <f>H36+J36+L36+N36+P36+R36+T36+V36+X36+Z36</f>
        <v>1931.17</v>
      </c>
      <c r="D36" s="86">
        <f>E36</f>
        <v>1931.1699999999998</v>
      </c>
      <c r="E36" s="92">
        <f>I36+K36+M36+O36+Q36+S36+U36+W36+Y36+AA36+AC36+AE36</f>
        <v>1931.1699999999998</v>
      </c>
      <c r="F36" s="92">
        <f>E36/(B36/100)</f>
        <v>99.99999999999999</v>
      </c>
      <c r="G36" s="92">
        <f>E36/(D36/100)</f>
        <v>100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36.2</v>
      </c>
      <c r="O36" s="92">
        <v>0</v>
      </c>
      <c r="P36" s="92">
        <v>0</v>
      </c>
      <c r="Q36" s="92">
        <v>0</v>
      </c>
      <c r="R36" s="92">
        <v>979.05</v>
      </c>
      <c r="S36" s="92">
        <v>306.57</v>
      </c>
      <c r="T36" s="92">
        <v>407.05</v>
      </c>
      <c r="U36" s="92">
        <v>835.73</v>
      </c>
      <c r="V36" s="92">
        <v>508.87</v>
      </c>
      <c r="W36" s="92">
        <v>784</v>
      </c>
      <c r="X36" s="92">
        <v>0</v>
      </c>
      <c r="Y36" s="92">
        <v>4.87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60"/>
      <c r="AG36" s="54"/>
      <c r="AH36" s="54"/>
      <c r="AI36" s="54"/>
    </row>
    <row r="37" spans="1:32" s="7" customFormat="1" ht="25.5" customHeight="1">
      <c r="A37" s="64" t="s">
        <v>29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36"/>
    </row>
    <row r="38" spans="1:37" s="7" customFormat="1" ht="25.5" customHeight="1">
      <c r="A38" s="64" t="s">
        <v>30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36"/>
      <c r="AG38" s="47"/>
      <c r="AH38" s="47" t="s">
        <v>71</v>
      </c>
      <c r="AI38" s="47"/>
      <c r="AJ38" s="47"/>
      <c r="AK38" s="47"/>
    </row>
    <row r="39" spans="1:32" s="8" customFormat="1" ht="45.75" customHeight="1">
      <c r="A39" s="67" t="s">
        <v>49</v>
      </c>
      <c r="B39" s="98">
        <f>B40</f>
        <v>1933.99</v>
      </c>
      <c r="C39" s="98">
        <f aca="true" t="shared" si="12" ref="C39:AE39">C40</f>
        <v>1933.99</v>
      </c>
      <c r="D39" s="98">
        <f t="shared" si="12"/>
        <v>1933.99</v>
      </c>
      <c r="E39" s="98">
        <f t="shared" si="12"/>
        <v>1933.99</v>
      </c>
      <c r="F39" s="98">
        <f t="shared" si="12"/>
        <v>100</v>
      </c>
      <c r="G39" s="98">
        <f t="shared" si="12"/>
        <v>100</v>
      </c>
      <c r="H39" s="98">
        <f t="shared" si="12"/>
        <v>100</v>
      </c>
      <c r="I39" s="98">
        <f t="shared" si="12"/>
        <v>0</v>
      </c>
      <c r="J39" s="98">
        <f t="shared" si="12"/>
        <v>0</v>
      </c>
      <c r="K39" s="98">
        <f t="shared" si="12"/>
        <v>86.96</v>
      </c>
      <c r="L39" s="98">
        <f t="shared" si="12"/>
        <v>0</v>
      </c>
      <c r="M39" s="98">
        <f t="shared" si="12"/>
        <v>0</v>
      </c>
      <c r="N39" s="98">
        <f t="shared" si="12"/>
        <v>0</v>
      </c>
      <c r="O39" s="98">
        <f t="shared" si="12"/>
        <v>0</v>
      </c>
      <c r="P39" s="98">
        <f t="shared" si="12"/>
        <v>1000</v>
      </c>
      <c r="Q39" s="98">
        <f t="shared" si="12"/>
        <v>0</v>
      </c>
      <c r="R39" s="98">
        <f t="shared" si="12"/>
        <v>0</v>
      </c>
      <c r="S39" s="98">
        <f t="shared" si="12"/>
        <v>936.83</v>
      </c>
      <c r="T39" s="98">
        <f t="shared" si="12"/>
        <v>0</v>
      </c>
      <c r="U39" s="98">
        <f t="shared" si="12"/>
        <v>0</v>
      </c>
      <c r="V39" s="98">
        <f t="shared" si="12"/>
        <v>833.45</v>
      </c>
      <c r="W39" s="98">
        <f t="shared" si="12"/>
        <v>0</v>
      </c>
      <c r="X39" s="98">
        <f t="shared" si="12"/>
        <v>0</v>
      </c>
      <c r="Y39" s="98">
        <f t="shared" si="12"/>
        <v>909.66</v>
      </c>
      <c r="Z39" s="98">
        <f t="shared" si="12"/>
        <v>0</v>
      </c>
      <c r="AA39" s="98">
        <f t="shared" si="12"/>
        <v>0</v>
      </c>
      <c r="AB39" s="98">
        <f t="shared" si="12"/>
        <v>0</v>
      </c>
      <c r="AC39" s="98">
        <f t="shared" si="12"/>
        <v>0</v>
      </c>
      <c r="AD39" s="98">
        <f t="shared" si="12"/>
        <v>0.54</v>
      </c>
      <c r="AE39" s="98">
        <f t="shared" si="12"/>
        <v>0.54</v>
      </c>
      <c r="AF39" s="52" t="s">
        <v>68</v>
      </c>
    </row>
    <row r="40" spans="1:32" s="7" customFormat="1" ht="19.5" customHeight="1">
      <c r="A40" s="10" t="s">
        <v>26</v>
      </c>
      <c r="B40" s="88">
        <f>B41+B42+B43+B44</f>
        <v>1933.99</v>
      </c>
      <c r="C40" s="88">
        <f>C41+C42+C43+C44</f>
        <v>1933.99</v>
      </c>
      <c r="D40" s="88">
        <f>D41+D42+D43+D44</f>
        <v>1933.99</v>
      </c>
      <c r="E40" s="88">
        <f aca="true" t="shared" si="13" ref="E40:AE40">E41+E42+E43+E44</f>
        <v>1933.99</v>
      </c>
      <c r="F40" s="88">
        <f t="shared" si="13"/>
        <v>100</v>
      </c>
      <c r="G40" s="88">
        <f t="shared" si="13"/>
        <v>100</v>
      </c>
      <c r="H40" s="88">
        <f t="shared" si="13"/>
        <v>100</v>
      </c>
      <c r="I40" s="88">
        <f t="shared" si="13"/>
        <v>0</v>
      </c>
      <c r="J40" s="88">
        <f t="shared" si="13"/>
        <v>0</v>
      </c>
      <c r="K40" s="88">
        <f t="shared" si="13"/>
        <v>86.96</v>
      </c>
      <c r="L40" s="88">
        <f t="shared" si="13"/>
        <v>0</v>
      </c>
      <c r="M40" s="88">
        <f t="shared" si="13"/>
        <v>0</v>
      </c>
      <c r="N40" s="88">
        <f t="shared" si="13"/>
        <v>0</v>
      </c>
      <c r="O40" s="88">
        <f t="shared" si="13"/>
        <v>0</v>
      </c>
      <c r="P40" s="88">
        <f t="shared" si="13"/>
        <v>1000</v>
      </c>
      <c r="Q40" s="88">
        <f t="shared" si="13"/>
        <v>0</v>
      </c>
      <c r="R40" s="88">
        <f t="shared" si="13"/>
        <v>0</v>
      </c>
      <c r="S40" s="88">
        <f t="shared" si="13"/>
        <v>936.83</v>
      </c>
      <c r="T40" s="88">
        <f t="shared" si="13"/>
        <v>0</v>
      </c>
      <c r="U40" s="88">
        <f t="shared" si="13"/>
        <v>0</v>
      </c>
      <c r="V40" s="88">
        <f t="shared" si="13"/>
        <v>833.45</v>
      </c>
      <c r="W40" s="88">
        <f t="shared" si="13"/>
        <v>0</v>
      </c>
      <c r="X40" s="88">
        <f t="shared" si="13"/>
        <v>0</v>
      </c>
      <c r="Y40" s="88">
        <f t="shared" si="13"/>
        <v>909.66</v>
      </c>
      <c r="Z40" s="88">
        <f t="shared" si="13"/>
        <v>0</v>
      </c>
      <c r="AA40" s="88">
        <f t="shared" si="13"/>
        <v>0</v>
      </c>
      <c r="AB40" s="88">
        <f t="shared" si="13"/>
        <v>0</v>
      </c>
      <c r="AC40" s="88">
        <f t="shared" si="13"/>
        <v>0</v>
      </c>
      <c r="AD40" s="88">
        <f t="shared" si="13"/>
        <v>0.54</v>
      </c>
      <c r="AE40" s="88">
        <f t="shared" si="13"/>
        <v>0.54</v>
      </c>
      <c r="AF40" s="37"/>
    </row>
    <row r="41" spans="1:32" s="53" customFormat="1" ht="19.5" customHeight="1">
      <c r="A41" s="63" t="s">
        <v>27</v>
      </c>
      <c r="B41" s="82">
        <f>H41+P41+V41+AD41</f>
        <v>1933.99</v>
      </c>
      <c r="C41" s="82">
        <f>H41+J41+L41+N41+P41+R41+T41+V41+AD41</f>
        <v>1933.99</v>
      </c>
      <c r="D41" s="82">
        <f>E41</f>
        <v>1933.99</v>
      </c>
      <c r="E41" s="82">
        <f>I41+K41+M41+O41+Q41+S41+U41+W41+Y41+AE41</f>
        <v>1933.99</v>
      </c>
      <c r="F41" s="82">
        <f>(I41+K41+M41+O41+Q41+S41+U41+W41+Y41+AE41)/B41*100</f>
        <v>100</v>
      </c>
      <c r="G41" s="82">
        <f>(I462+K41+M41+O41+Q41+S41+U41+W41+Y41+AE41)/C41*100</f>
        <v>100</v>
      </c>
      <c r="H41" s="82">
        <v>100</v>
      </c>
      <c r="I41" s="82">
        <v>0</v>
      </c>
      <c r="J41" s="82">
        <v>0</v>
      </c>
      <c r="K41" s="82">
        <v>86.96</v>
      </c>
      <c r="L41" s="82">
        <v>0</v>
      </c>
      <c r="M41" s="82">
        <v>0</v>
      </c>
      <c r="N41" s="82">
        <v>0</v>
      </c>
      <c r="O41" s="82">
        <v>0</v>
      </c>
      <c r="P41" s="82">
        <v>1000</v>
      </c>
      <c r="Q41" s="82">
        <v>0</v>
      </c>
      <c r="R41" s="82">
        <v>0</v>
      </c>
      <c r="S41" s="82">
        <v>936.83</v>
      </c>
      <c r="T41" s="82">
        <v>0</v>
      </c>
      <c r="U41" s="82">
        <v>0</v>
      </c>
      <c r="V41" s="82">
        <v>833.45</v>
      </c>
      <c r="W41" s="82">
        <v>0</v>
      </c>
      <c r="X41" s="82">
        <v>0</v>
      </c>
      <c r="Y41" s="82">
        <v>909.66</v>
      </c>
      <c r="Z41" s="82">
        <v>0</v>
      </c>
      <c r="AA41" s="82">
        <v>0</v>
      </c>
      <c r="AB41" s="82">
        <v>0</v>
      </c>
      <c r="AC41" s="82">
        <v>0</v>
      </c>
      <c r="AD41" s="82">
        <v>0.54</v>
      </c>
      <c r="AE41" s="82">
        <v>0.54</v>
      </c>
      <c r="AF41" s="36"/>
    </row>
    <row r="42" spans="1:32" s="7" customFormat="1" ht="19.5" customHeight="1">
      <c r="A42" s="64" t="s">
        <v>28</v>
      </c>
      <c r="B42" s="82"/>
      <c r="C42" s="88"/>
      <c r="D42" s="88"/>
      <c r="E42" s="88"/>
      <c r="F42" s="88"/>
      <c r="G42" s="88"/>
      <c r="H42" s="88"/>
      <c r="I42" s="88"/>
      <c r="J42" s="88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36"/>
    </row>
    <row r="43" spans="1:32" s="7" customFormat="1" ht="19.5" customHeight="1">
      <c r="A43" s="64" t="s">
        <v>29</v>
      </c>
      <c r="B43" s="82"/>
      <c r="C43" s="88"/>
      <c r="D43" s="88"/>
      <c r="E43" s="88"/>
      <c r="F43" s="88"/>
      <c r="G43" s="88"/>
      <c r="H43" s="88"/>
      <c r="I43" s="88"/>
      <c r="J43" s="88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36"/>
    </row>
    <row r="44" spans="1:32" s="7" customFormat="1" ht="19.5" customHeight="1">
      <c r="A44" s="64" t="s">
        <v>30</v>
      </c>
      <c r="B44" s="82"/>
      <c r="C44" s="88"/>
      <c r="D44" s="88"/>
      <c r="E44" s="88"/>
      <c r="F44" s="88"/>
      <c r="G44" s="88"/>
      <c r="H44" s="88"/>
      <c r="I44" s="88"/>
      <c r="J44" s="88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36"/>
    </row>
    <row r="45" spans="1:32" s="8" customFormat="1" ht="96" customHeight="1">
      <c r="A45" s="67" t="s">
        <v>40</v>
      </c>
      <c r="B45" s="98">
        <f>B46</f>
        <v>1746.9</v>
      </c>
      <c r="C45" s="98">
        <f aca="true" t="shared" si="14" ref="C45:AE45">C46</f>
        <v>1746.9</v>
      </c>
      <c r="D45" s="98">
        <f t="shared" si="14"/>
        <v>1666.8999999999999</v>
      </c>
      <c r="E45" s="98">
        <f t="shared" si="14"/>
        <v>1666.8999999999999</v>
      </c>
      <c r="F45" s="98">
        <f t="shared" si="14"/>
        <v>95.42045909897531</v>
      </c>
      <c r="G45" s="98">
        <f t="shared" si="14"/>
        <v>95.42045909897531</v>
      </c>
      <c r="H45" s="98">
        <f t="shared" si="14"/>
        <v>0</v>
      </c>
      <c r="I45" s="98">
        <f t="shared" si="14"/>
        <v>0</v>
      </c>
      <c r="J45" s="98">
        <f t="shared" si="14"/>
        <v>131.33</v>
      </c>
      <c r="K45" s="98">
        <f t="shared" si="14"/>
        <v>37.33</v>
      </c>
      <c r="L45" s="98">
        <f t="shared" si="14"/>
        <v>0</v>
      </c>
      <c r="M45" s="98">
        <f t="shared" si="14"/>
        <v>0</v>
      </c>
      <c r="N45" s="98">
        <f t="shared" si="14"/>
        <v>102.78</v>
      </c>
      <c r="O45" s="98">
        <f t="shared" si="14"/>
        <v>102.77</v>
      </c>
      <c r="P45" s="98">
        <f t="shared" si="14"/>
        <v>433.55</v>
      </c>
      <c r="Q45" s="98">
        <f t="shared" si="14"/>
        <v>77.06</v>
      </c>
      <c r="R45" s="98">
        <f t="shared" si="14"/>
        <v>22.12</v>
      </c>
      <c r="S45" s="98">
        <f t="shared" si="14"/>
        <v>125.02</v>
      </c>
      <c r="T45" s="98">
        <f t="shared" si="14"/>
        <v>355.98</v>
      </c>
      <c r="U45" s="98">
        <f t="shared" si="14"/>
        <v>600.66</v>
      </c>
      <c r="V45" s="98">
        <f t="shared" si="14"/>
        <v>367.28</v>
      </c>
      <c r="W45" s="98">
        <f t="shared" si="14"/>
        <v>352.35999999999996</v>
      </c>
      <c r="X45" s="98">
        <f t="shared" si="14"/>
        <v>333.86</v>
      </c>
      <c r="Y45" s="98">
        <f t="shared" si="14"/>
        <v>346.27</v>
      </c>
      <c r="Z45" s="98">
        <f t="shared" si="14"/>
        <v>0</v>
      </c>
      <c r="AA45" s="98">
        <f t="shared" si="14"/>
        <v>25.430000000000003</v>
      </c>
      <c r="AB45" s="98">
        <f t="shared" si="14"/>
        <v>0</v>
      </c>
      <c r="AC45" s="98">
        <f t="shared" si="14"/>
        <v>0</v>
      </c>
      <c r="AD45" s="98">
        <f t="shared" si="14"/>
        <v>0</v>
      </c>
      <c r="AE45" s="98">
        <f t="shared" si="14"/>
        <v>0</v>
      </c>
      <c r="AF45" s="52" t="s">
        <v>62</v>
      </c>
    </row>
    <row r="46" spans="1:32" s="7" customFormat="1" ht="18" customHeight="1">
      <c r="A46" s="10" t="s">
        <v>26</v>
      </c>
      <c r="B46" s="88">
        <f aca="true" t="shared" si="15" ref="B46:AE46">B47+B48+B49+B50</f>
        <v>1746.9</v>
      </c>
      <c r="C46" s="88">
        <f>C47+C48+C49+C50</f>
        <v>1746.9</v>
      </c>
      <c r="D46" s="88">
        <f>D47+D48+D49+D50</f>
        <v>1666.8999999999999</v>
      </c>
      <c r="E46" s="88">
        <f t="shared" si="15"/>
        <v>1666.8999999999999</v>
      </c>
      <c r="F46" s="88">
        <f t="shared" si="15"/>
        <v>95.42045909897531</v>
      </c>
      <c r="G46" s="88">
        <f t="shared" si="15"/>
        <v>95.42045909897531</v>
      </c>
      <c r="H46" s="88">
        <f t="shared" si="15"/>
        <v>0</v>
      </c>
      <c r="I46" s="88">
        <f t="shared" si="15"/>
        <v>0</v>
      </c>
      <c r="J46" s="88">
        <f>J47+J48+J49+J50</f>
        <v>131.33</v>
      </c>
      <c r="K46" s="88">
        <f t="shared" si="15"/>
        <v>37.33</v>
      </c>
      <c r="L46" s="88">
        <f t="shared" si="15"/>
        <v>0</v>
      </c>
      <c r="M46" s="88">
        <f t="shared" si="15"/>
        <v>0</v>
      </c>
      <c r="N46" s="88">
        <f t="shared" si="15"/>
        <v>102.78</v>
      </c>
      <c r="O46" s="88">
        <f t="shared" si="15"/>
        <v>102.77</v>
      </c>
      <c r="P46" s="88">
        <f t="shared" si="15"/>
        <v>433.55</v>
      </c>
      <c r="Q46" s="88">
        <f t="shared" si="15"/>
        <v>77.06</v>
      </c>
      <c r="R46" s="88">
        <f t="shared" si="15"/>
        <v>22.12</v>
      </c>
      <c r="S46" s="88">
        <f t="shared" si="15"/>
        <v>125.02</v>
      </c>
      <c r="T46" s="88">
        <f t="shared" si="15"/>
        <v>355.98</v>
      </c>
      <c r="U46" s="88">
        <f t="shared" si="15"/>
        <v>600.66</v>
      </c>
      <c r="V46" s="88">
        <f t="shared" si="15"/>
        <v>367.28</v>
      </c>
      <c r="W46" s="88">
        <f t="shared" si="15"/>
        <v>352.35999999999996</v>
      </c>
      <c r="X46" s="88">
        <f t="shared" si="15"/>
        <v>333.86</v>
      </c>
      <c r="Y46" s="88">
        <f t="shared" si="15"/>
        <v>346.27</v>
      </c>
      <c r="Z46" s="88">
        <f t="shared" si="15"/>
        <v>0</v>
      </c>
      <c r="AA46" s="88">
        <f t="shared" si="15"/>
        <v>25.430000000000003</v>
      </c>
      <c r="AB46" s="88">
        <f t="shared" si="15"/>
        <v>0</v>
      </c>
      <c r="AC46" s="88">
        <f t="shared" si="15"/>
        <v>0</v>
      </c>
      <c r="AD46" s="88">
        <f t="shared" si="15"/>
        <v>0</v>
      </c>
      <c r="AE46" s="88">
        <f t="shared" si="15"/>
        <v>0</v>
      </c>
      <c r="AF46" s="37"/>
    </row>
    <row r="47" spans="1:32" s="7" customFormat="1" ht="18" customHeight="1">
      <c r="A47" s="64" t="s">
        <v>27</v>
      </c>
      <c r="B47" s="82"/>
      <c r="C47" s="82"/>
      <c r="D47" s="82"/>
      <c r="E47" s="82"/>
      <c r="F47" s="82"/>
      <c r="G47" s="82"/>
      <c r="H47" s="88"/>
      <c r="I47" s="88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2"/>
      <c r="V47" s="96"/>
      <c r="W47" s="96"/>
      <c r="X47" s="96"/>
      <c r="Y47" s="96"/>
      <c r="Z47" s="96"/>
      <c r="AA47" s="96"/>
      <c r="AB47" s="96"/>
      <c r="AC47" s="96"/>
      <c r="AD47" s="96"/>
      <c r="AE47" s="97"/>
      <c r="AF47" s="39"/>
    </row>
    <row r="48" spans="1:32" s="56" customFormat="1" ht="18" customHeight="1">
      <c r="A48" s="64" t="s">
        <v>28</v>
      </c>
      <c r="B48" s="82">
        <f>H48+J48+L48+N48+P48+R48+T48+V48+X48+Z48+AB48+AD48</f>
        <v>1746.9</v>
      </c>
      <c r="C48" s="82">
        <f>H48+J48+L48+N48+P48+R48+T48+V48+X48+Z48+AB48</f>
        <v>1746.9</v>
      </c>
      <c r="D48" s="82">
        <f>E48</f>
        <v>1666.8999999999999</v>
      </c>
      <c r="E48" s="82">
        <f>I48+K48+M48+O48+Q48+S48+U48+W48+Y48+AA48+AC48</f>
        <v>1666.8999999999999</v>
      </c>
      <c r="F48" s="82">
        <f>(I48+K48+M48+O48+Q48+S48+U48+W48+Y48+AA48+AC48)/B48*100</f>
        <v>95.42045909897531</v>
      </c>
      <c r="G48" s="82">
        <f>(K48+M48+O48+Q48+S48+U48+W48+Y48+AA48+AC48)/C48*100</f>
        <v>95.42045909897531</v>
      </c>
      <c r="H48" s="82">
        <v>0</v>
      </c>
      <c r="I48" s="82">
        <v>0</v>
      </c>
      <c r="J48" s="92">
        <v>131.33</v>
      </c>
      <c r="K48" s="92">
        <v>37.33</v>
      </c>
      <c r="L48" s="92">
        <v>0</v>
      </c>
      <c r="M48" s="92">
        <v>0</v>
      </c>
      <c r="N48" s="92">
        <v>102.78</v>
      </c>
      <c r="O48" s="92">
        <v>102.77</v>
      </c>
      <c r="P48" s="92">
        <v>433.55</v>
      </c>
      <c r="Q48" s="92">
        <v>77.06</v>
      </c>
      <c r="R48" s="92">
        <v>22.12</v>
      </c>
      <c r="S48" s="92">
        <v>125.02</v>
      </c>
      <c r="T48" s="92">
        <f>352.22+156.94-153.18</f>
        <v>355.98</v>
      </c>
      <c r="U48" s="92">
        <f>435.32+165.34</f>
        <v>600.66</v>
      </c>
      <c r="V48" s="92">
        <f>210.34+156.94</f>
        <v>367.28</v>
      </c>
      <c r="W48" s="92">
        <f>346.64+155.66-149.94</f>
        <v>352.35999999999996</v>
      </c>
      <c r="X48" s="92">
        <f>156.94+176.92</f>
        <v>333.86</v>
      </c>
      <c r="Y48" s="92">
        <v>346.27</v>
      </c>
      <c r="Z48" s="92">
        <v>0</v>
      </c>
      <c r="AA48" s="92">
        <f>26.19-3.24+2.48</f>
        <v>25.430000000000003</v>
      </c>
      <c r="AB48" s="92">
        <v>0</v>
      </c>
      <c r="AC48" s="92">
        <v>0</v>
      </c>
      <c r="AD48" s="92">
        <v>0</v>
      </c>
      <c r="AE48" s="92">
        <v>0</v>
      </c>
      <c r="AF48" s="7"/>
    </row>
    <row r="49" spans="1:32" s="7" customFormat="1" ht="18" customHeight="1">
      <c r="A49" s="64" t="s">
        <v>29</v>
      </c>
      <c r="B49" s="82"/>
      <c r="C49" s="82"/>
      <c r="D49" s="82"/>
      <c r="E49" s="82"/>
      <c r="F49" s="82"/>
      <c r="G49" s="82"/>
      <c r="H49" s="88"/>
      <c r="I49" s="88"/>
      <c r="J49" s="88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36"/>
    </row>
    <row r="50" spans="1:32" s="7" customFormat="1" ht="18" customHeight="1">
      <c r="A50" s="64" t="s">
        <v>30</v>
      </c>
      <c r="B50" s="82"/>
      <c r="C50" s="82"/>
      <c r="D50" s="82"/>
      <c r="E50" s="82"/>
      <c r="F50" s="82"/>
      <c r="G50" s="82"/>
      <c r="H50" s="88"/>
      <c r="I50" s="88"/>
      <c r="J50" s="88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36"/>
    </row>
    <row r="51" spans="1:32" s="8" customFormat="1" ht="34.5" customHeight="1">
      <c r="A51" s="46" t="s">
        <v>34</v>
      </c>
      <c r="B51" s="99">
        <f>B52+B65</f>
        <v>38227.350000000006</v>
      </c>
      <c r="C51" s="99">
        <f aca="true" t="shared" si="16" ref="C51:AE51">C52+C65</f>
        <v>38227.350000000006</v>
      </c>
      <c r="D51" s="99">
        <f t="shared" si="16"/>
        <v>34772.420000000006</v>
      </c>
      <c r="E51" s="99">
        <f t="shared" si="16"/>
        <v>34772.420000000006</v>
      </c>
      <c r="F51" s="99">
        <f t="shared" si="16"/>
        <v>267.8648670928594</v>
      </c>
      <c r="G51" s="99">
        <f t="shared" si="16"/>
        <v>267.8648670928594</v>
      </c>
      <c r="H51" s="99">
        <f t="shared" si="16"/>
        <v>0</v>
      </c>
      <c r="I51" s="99">
        <f t="shared" si="16"/>
        <v>0</v>
      </c>
      <c r="J51" s="99">
        <f t="shared" si="16"/>
        <v>623.2</v>
      </c>
      <c r="K51" s="99">
        <f t="shared" si="16"/>
        <v>0</v>
      </c>
      <c r="L51" s="99">
        <f t="shared" si="16"/>
        <v>3034.5</v>
      </c>
      <c r="M51" s="99">
        <f t="shared" si="16"/>
        <v>3657.74</v>
      </c>
      <c r="N51" s="99">
        <f t="shared" si="16"/>
        <v>1903.24</v>
      </c>
      <c r="O51" s="99">
        <f t="shared" si="16"/>
        <v>1903.24</v>
      </c>
      <c r="P51" s="99">
        <f t="shared" si="16"/>
        <v>0</v>
      </c>
      <c r="Q51" s="99">
        <f t="shared" si="16"/>
        <v>0</v>
      </c>
      <c r="R51" s="99">
        <f t="shared" si="16"/>
        <v>3034.54</v>
      </c>
      <c r="S51" s="99">
        <f t="shared" si="16"/>
        <v>0</v>
      </c>
      <c r="T51" s="99">
        <f t="shared" si="16"/>
        <v>24070.600000000002</v>
      </c>
      <c r="U51" s="99">
        <f t="shared" si="16"/>
        <v>17473.83</v>
      </c>
      <c r="V51" s="99">
        <f t="shared" si="16"/>
        <v>179.5</v>
      </c>
      <c r="W51" s="99">
        <f t="shared" si="16"/>
        <v>179.5</v>
      </c>
      <c r="X51" s="99">
        <f t="shared" si="16"/>
        <v>277.73</v>
      </c>
      <c r="Y51" s="99">
        <f t="shared" si="16"/>
        <v>277.71</v>
      </c>
      <c r="Z51" s="99">
        <f t="shared" si="16"/>
        <v>0.04</v>
      </c>
      <c r="AA51" s="99">
        <f t="shared" si="16"/>
        <v>3210.4</v>
      </c>
      <c r="AB51" s="99">
        <f t="shared" si="16"/>
        <v>0</v>
      </c>
      <c r="AC51" s="99">
        <f t="shared" si="16"/>
        <v>0</v>
      </c>
      <c r="AD51" s="99">
        <f t="shared" si="16"/>
        <v>5104</v>
      </c>
      <c r="AE51" s="99">
        <f t="shared" si="16"/>
        <v>8070</v>
      </c>
      <c r="AF51" s="37"/>
    </row>
    <row r="52" spans="1:32" s="8" customFormat="1" ht="66" customHeight="1">
      <c r="A52" s="58" t="s">
        <v>35</v>
      </c>
      <c r="B52" s="100">
        <f>B53+B59</f>
        <v>35866.840000000004</v>
      </c>
      <c r="C52" s="100">
        <f aca="true" t="shared" si="17" ref="C52:AE52">C53+C59</f>
        <v>35866.840000000004</v>
      </c>
      <c r="D52" s="100">
        <f t="shared" si="17"/>
        <v>32411.970000000005</v>
      </c>
      <c r="E52" s="100">
        <f t="shared" si="17"/>
        <v>32411.970000000005</v>
      </c>
      <c r="F52" s="100">
        <f t="shared" si="17"/>
        <v>67.86761811188272</v>
      </c>
      <c r="G52" s="100">
        <f t="shared" si="17"/>
        <v>67.86761811188272</v>
      </c>
      <c r="H52" s="100">
        <f t="shared" si="17"/>
        <v>0</v>
      </c>
      <c r="I52" s="100">
        <f t="shared" si="17"/>
        <v>0</v>
      </c>
      <c r="J52" s="100">
        <f t="shared" si="17"/>
        <v>623.2</v>
      </c>
      <c r="K52" s="100">
        <f t="shared" si="17"/>
        <v>0</v>
      </c>
      <c r="L52" s="100">
        <f t="shared" si="17"/>
        <v>3034.5</v>
      </c>
      <c r="M52" s="100">
        <f t="shared" si="17"/>
        <v>3657.74</v>
      </c>
      <c r="N52" s="100">
        <f t="shared" si="17"/>
        <v>0</v>
      </c>
      <c r="O52" s="100">
        <f t="shared" si="17"/>
        <v>0</v>
      </c>
      <c r="P52" s="100">
        <f t="shared" si="17"/>
        <v>0</v>
      </c>
      <c r="Q52" s="100">
        <f t="shared" si="17"/>
        <v>0</v>
      </c>
      <c r="R52" s="100">
        <f t="shared" si="17"/>
        <v>3034.54</v>
      </c>
      <c r="S52" s="100">
        <f t="shared" si="17"/>
        <v>0</v>
      </c>
      <c r="T52" s="100">
        <f t="shared" si="17"/>
        <v>24070.600000000002</v>
      </c>
      <c r="U52" s="100">
        <f t="shared" si="17"/>
        <v>17473.83</v>
      </c>
      <c r="V52" s="100">
        <f t="shared" si="17"/>
        <v>0</v>
      </c>
      <c r="W52" s="100">
        <f t="shared" si="17"/>
        <v>0</v>
      </c>
      <c r="X52" s="100">
        <f t="shared" si="17"/>
        <v>0</v>
      </c>
      <c r="Y52" s="100">
        <f t="shared" si="17"/>
        <v>0</v>
      </c>
      <c r="Z52" s="100">
        <f t="shared" si="17"/>
        <v>0</v>
      </c>
      <c r="AA52" s="100">
        <f t="shared" si="17"/>
        <v>3210.4</v>
      </c>
      <c r="AB52" s="100">
        <f t="shared" si="17"/>
        <v>0</v>
      </c>
      <c r="AC52" s="100">
        <f t="shared" si="17"/>
        <v>0</v>
      </c>
      <c r="AD52" s="100">
        <f t="shared" si="17"/>
        <v>5104</v>
      </c>
      <c r="AE52" s="100">
        <f t="shared" si="17"/>
        <v>8070</v>
      </c>
      <c r="AF52" s="37"/>
    </row>
    <row r="53" spans="1:32" s="8" customFormat="1" ht="146.25" customHeight="1">
      <c r="A53" s="67" t="s">
        <v>41</v>
      </c>
      <c r="B53" s="98">
        <f>B54</f>
        <v>0</v>
      </c>
      <c r="C53" s="98">
        <f aca="true" t="shared" si="18" ref="C53:AE53">C54</f>
        <v>0</v>
      </c>
      <c r="D53" s="98">
        <f t="shared" si="18"/>
        <v>0</v>
      </c>
      <c r="E53" s="98">
        <f t="shared" si="18"/>
        <v>0</v>
      </c>
      <c r="F53" s="98">
        <f t="shared" si="18"/>
        <v>0</v>
      </c>
      <c r="G53" s="98">
        <f t="shared" si="18"/>
        <v>0</v>
      </c>
      <c r="H53" s="98">
        <f t="shared" si="18"/>
        <v>0</v>
      </c>
      <c r="I53" s="98">
        <f t="shared" si="18"/>
        <v>0</v>
      </c>
      <c r="J53" s="98">
        <f t="shared" si="18"/>
        <v>0</v>
      </c>
      <c r="K53" s="98">
        <f t="shared" si="18"/>
        <v>0</v>
      </c>
      <c r="L53" s="98">
        <f t="shared" si="18"/>
        <v>0</v>
      </c>
      <c r="M53" s="98">
        <f t="shared" si="18"/>
        <v>0</v>
      </c>
      <c r="N53" s="98">
        <f t="shared" si="18"/>
        <v>0</v>
      </c>
      <c r="O53" s="98">
        <f t="shared" si="18"/>
        <v>0</v>
      </c>
      <c r="P53" s="98">
        <f t="shared" si="18"/>
        <v>0</v>
      </c>
      <c r="Q53" s="98">
        <f t="shared" si="18"/>
        <v>0</v>
      </c>
      <c r="R53" s="98">
        <f t="shared" si="18"/>
        <v>0</v>
      </c>
      <c r="S53" s="98">
        <f t="shared" si="18"/>
        <v>0</v>
      </c>
      <c r="T53" s="98">
        <f t="shared" si="18"/>
        <v>0</v>
      </c>
      <c r="U53" s="98">
        <f t="shared" si="18"/>
        <v>0</v>
      </c>
      <c r="V53" s="98">
        <f t="shared" si="18"/>
        <v>0</v>
      </c>
      <c r="W53" s="98">
        <f t="shared" si="18"/>
        <v>0</v>
      </c>
      <c r="X53" s="98">
        <f t="shared" si="18"/>
        <v>0</v>
      </c>
      <c r="Y53" s="98">
        <f t="shared" si="18"/>
        <v>0</v>
      </c>
      <c r="Z53" s="98">
        <f t="shared" si="18"/>
        <v>0</v>
      </c>
      <c r="AA53" s="98">
        <f t="shared" si="18"/>
        <v>0</v>
      </c>
      <c r="AB53" s="98">
        <f t="shared" si="18"/>
        <v>0</v>
      </c>
      <c r="AC53" s="98">
        <f t="shared" si="18"/>
        <v>0</v>
      </c>
      <c r="AD53" s="98">
        <f t="shared" si="18"/>
        <v>0</v>
      </c>
      <c r="AE53" s="98">
        <f t="shared" si="18"/>
        <v>0</v>
      </c>
      <c r="AF53" s="52" t="s">
        <v>75</v>
      </c>
    </row>
    <row r="54" spans="1:32" s="7" customFormat="1" ht="20.25" customHeight="1">
      <c r="A54" s="10" t="s">
        <v>26</v>
      </c>
      <c r="B54" s="88">
        <f aca="true" t="shared" si="19" ref="B54:AE54">B55+B56+B57+B58</f>
        <v>0</v>
      </c>
      <c r="C54" s="88">
        <f t="shared" si="19"/>
        <v>0</v>
      </c>
      <c r="D54" s="88">
        <v>0</v>
      </c>
      <c r="E54" s="88">
        <f t="shared" si="19"/>
        <v>0</v>
      </c>
      <c r="F54" s="88">
        <f t="shared" si="19"/>
        <v>0</v>
      </c>
      <c r="G54" s="88">
        <f t="shared" si="19"/>
        <v>0</v>
      </c>
      <c r="H54" s="88">
        <f t="shared" si="19"/>
        <v>0</v>
      </c>
      <c r="I54" s="88">
        <f t="shared" si="19"/>
        <v>0</v>
      </c>
      <c r="J54" s="88">
        <f t="shared" si="19"/>
        <v>0</v>
      </c>
      <c r="K54" s="88">
        <f t="shared" si="19"/>
        <v>0</v>
      </c>
      <c r="L54" s="88">
        <f t="shared" si="19"/>
        <v>0</v>
      </c>
      <c r="M54" s="88">
        <f t="shared" si="19"/>
        <v>0</v>
      </c>
      <c r="N54" s="88">
        <f t="shared" si="19"/>
        <v>0</v>
      </c>
      <c r="O54" s="88">
        <f t="shared" si="19"/>
        <v>0</v>
      </c>
      <c r="P54" s="88">
        <f t="shared" si="19"/>
        <v>0</v>
      </c>
      <c r="Q54" s="88">
        <f t="shared" si="19"/>
        <v>0</v>
      </c>
      <c r="R54" s="88">
        <f t="shared" si="19"/>
        <v>0</v>
      </c>
      <c r="S54" s="88">
        <f t="shared" si="19"/>
        <v>0</v>
      </c>
      <c r="T54" s="88">
        <f t="shared" si="19"/>
        <v>0</v>
      </c>
      <c r="U54" s="88">
        <f t="shared" si="19"/>
        <v>0</v>
      </c>
      <c r="V54" s="88">
        <f t="shared" si="19"/>
        <v>0</v>
      </c>
      <c r="W54" s="88">
        <f t="shared" si="19"/>
        <v>0</v>
      </c>
      <c r="X54" s="88">
        <f t="shared" si="19"/>
        <v>0</v>
      </c>
      <c r="Y54" s="88">
        <f t="shared" si="19"/>
        <v>0</v>
      </c>
      <c r="Z54" s="88">
        <f t="shared" si="19"/>
        <v>0</v>
      </c>
      <c r="AA54" s="88">
        <f t="shared" si="19"/>
        <v>0</v>
      </c>
      <c r="AB54" s="88">
        <f t="shared" si="19"/>
        <v>0</v>
      </c>
      <c r="AC54" s="88">
        <f t="shared" si="19"/>
        <v>0</v>
      </c>
      <c r="AD54" s="88">
        <f t="shared" si="19"/>
        <v>0</v>
      </c>
      <c r="AE54" s="88">
        <f t="shared" si="19"/>
        <v>0</v>
      </c>
      <c r="AF54" s="37"/>
    </row>
    <row r="55" spans="1:32" s="48" customFormat="1" ht="15.75" customHeight="1">
      <c r="A55" s="64" t="s">
        <v>27</v>
      </c>
      <c r="B55" s="82"/>
      <c r="C55" s="88"/>
      <c r="D55" s="88"/>
      <c r="E55" s="88"/>
      <c r="F55" s="88"/>
      <c r="G55" s="88"/>
      <c r="H55" s="88"/>
      <c r="I55" s="88"/>
      <c r="J55" s="88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36"/>
    </row>
    <row r="56" spans="1:32" s="7" customFormat="1" ht="15.75" customHeight="1">
      <c r="A56" s="64" t="s">
        <v>28</v>
      </c>
      <c r="B56" s="82"/>
      <c r="C56" s="88"/>
      <c r="D56" s="88"/>
      <c r="E56" s="88"/>
      <c r="F56" s="88"/>
      <c r="G56" s="88"/>
      <c r="H56" s="88"/>
      <c r="I56" s="88"/>
      <c r="J56" s="88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36"/>
    </row>
    <row r="57" spans="1:32" s="7" customFormat="1" ht="15.75" customHeight="1">
      <c r="A57" s="64" t="s">
        <v>29</v>
      </c>
      <c r="B57" s="82"/>
      <c r="C57" s="88"/>
      <c r="D57" s="88"/>
      <c r="E57" s="88"/>
      <c r="F57" s="88"/>
      <c r="G57" s="88"/>
      <c r="H57" s="88"/>
      <c r="I57" s="88"/>
      <c r="J57" s="88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36"/>
    </row>
    <row r="58" spans="1:32" s="7" customFormat="1" ht="15.75" customHeight="1">
      <c r="A58" s="64" t="s">
        <v>30</v>
      </c>
      <c r="B58" s="82"/>
      <c r="C58" s="88"/>
      <c r="D58" s="88"/>
      <c r="E58" s="88"/>
      <c r="F58" s="88"/>
      <c r="G58" s="88"/>
      <c r="H58" s="88"/>
      <c r="I58" s="88"/>
      <c r="J58" s="88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36"/>
    </row>
    <row r="59" spans="1:32" s="8" customFormat="1" ht="231" customHeight="1">
      <c r="A59" s="67" t="s">
        <v>48</v>
      </c>
      <c r="B59" s="98">
        <f>B60</f>
        <v>35866.840000000004</v>
      </c>
      <c r="C59" s="98">
        <f aca="true" t="shared" si="20" ref="C59:AE59">C60</f>
        <v>35866.840000000004</v>
      </c>
      <c r="D59" s="98">
        <f t="shared" si="20"/>
        <v>32411.970000000005</v>
      </c>
      <c r="E59" s="98">
        <f t="shared" si="20"/>
        <v>32411.970000000005</v>
      </c>
      <c r="F59" s="98">
        <f t="shared" si="20"/>
        <v>67.86761811188272</v>
      </c>
      <c r="G59" s="98">
        <f t="shared" si="20"/>
        <v>67.86761811188272</v>
      </c>
      <c r="H59" s="98">
        <f t="shared" si="20"/>
        <v>0</v>
      </c>
      <c r="I59" s="98">
        <f t="shared" si="20"/>
        <v>0</v>
      </c>
      <c r="J59" s="98">
        <f t="shared" si="20"/>
        <v>623.2</v>
      </c>
      <c r="K59" s="98">
        <f t="shared" si="20"/>
        <v>0</v>
      </c>
      <c r="L59" s="98">
        <f t="shared" si="20"/>
        <v>3034.5</v>
      </c>
      <c r="M59" s="98">
        <f t="shared" si="20"/>
        <v>3657.74</v>
      </c>
      <c r="N59" s="98">
        <f t="shared" si="20"/>
        <v>0</v>
      </c>
      <c r="O59" s="98">
        <f t="shared" si="20"/>
        <v>0</v>
      </c>
      <c r="P59" s="98">
        <f t="shared" si="20"/>
        <v>0</v>
      </c>
      <c r="Q59" s="98">
        <f t="shared" si="20"/>
        <v>0</v>
      </c>
      <c r="R59" s="98">
        <f t="shared" si="20"/>
        <v>3034.54</v>
      </c>
      <c r="S59" s="98">
        <f t="shared" si="20"/>
        <v>0</v>
      </c>
      <c r="T59" s="98">
        <f t="shared" si="20"/>
        <v>24070.600000000002</v>
      </c>
      <c r="U59" s="98">
        <f t="shared" si="20"/>
        <v>17473.83</v>
      </c>
      <c r="V59" s="98">
        <f t="shared" si="20"/>
        <v>0</v>
      </c>
      <c r="W59" s="98">
        <f t="shared" si="20"/>
        <v>0</v>
      </c>
      <c r="X59" s="98">
        <f t="shared" si="20"/>
        <v>0</v>
      </c>
      <c r="Y59" s="98">
        <f t="shared" si="20"/>
        <v>0</v>
      </c>
      <c r="Z59" s="98">
        <f t="shared" si="20"/>
        <v>0</v>
      </c>
      <c r="AA59" s="98">
        <f t="shared" si="20"/>
        <v>3210.4</v>
      </c>
      <c r="AB59" s="98">
        <f t="shared" si="20"/>
        <v>0</v>
      </c>
      <c r="AC59" s="98">
        <f t="shared" si="20"/>
        <v>0</v>
      </c>
      <c r="AD59" s="98">
        <f t="shared" si="20"/>
        <v>5104</v>
      </c>
      <c r="AE59" s="98">
        <f t="shared" si="20"/>
        <v>8070</v>
      </c>
      <c r="AF59" s="126" t="s">
        <v>69</v>
      </c>
    </row>
    <row r="60" spans="1:32" s="7" customFormat="1" ht="21.75" customHeight="1">
      <c r="A60" s="10" t="s">
        <v>26</v>
      </c>
      <c r="B60" s="88">
        <f>B61+B62+B63+B64</f>
        <v>35866.840000000004</v>
      </c>
      <c r="C60" s="88">
        <f>C61+C62+C63+C64</f>
        <v>35866.840000000004</v>
      </c>
      <c r="D60" s="88">
        <f>D61+D62+D63+D64</f>
        <v>32411.970000000005</v>
      </c>
      <c r="E60" s="88">
        <f>E61+E62+E63+E64</f>
        <v>32411.970000000005</v>
      </c>
      <c r="F60" s="93">
        <f>(I60+K60+M60+O60+Q60+S60+U60+W60+Y60+AA60)/B60*100</f>
        <v>67.86761811188272</v>
      </c>
      <c r="G60" s="93">
        <f>(I60+K60+M60+O60+Q60+S60+U60+W60+Y60+AA60)/C60*100</f>
        <v>67.86761811188272</v>
      </c>
      <c r="H60" s="93">
        <f aca="true" t="shared" si="21" ref="H60:AE60">H61+H62+H63+H64</f>
        <v>0</v>
      </c>
      <c r="I60" s="88">
        <f t="shared" si="21"/>
        <v>0</v>
      </c>
      <c r="J60" s="88">
        <f t="shared" si="21"/>
        <v>623.2</v>
      </c>
      <c r="K60" s="88">
        <f t="shared" si="21"/>
        <v>0</v>
      </c>
      <c r="L60" s="88">
        <f>L61+L62+L63+L64</f>
        <v>3034.5</v>
      </c>
      <c r="M60" s="88">
        <f>M61+M62+M63+M64</f>
        <v>3657.74</v>
      </c>
      <c r="N60" s="88">
        <f t="shared" si="21"/>
        <v>0</v>
      </c>
      <c r="O60" s="88">
        <f t="shared" si="21"/>
        <v>0</v>
      </c>
      <c r="P60" s="88">
        <f t="shared" si="21"/>
        <v>0</v>
      </c>
      <c r="Q60" s="88">
        <f t="shared" si="21"/>
        <v>0</v>
      </c>
      <c r="R60" s="88">
        <f t="shared" si="21"/>
        <v>3034.54</v>
      </c>
      <c r="S60" s="88">
        <f t="shared" si="21"/>
        <v>0</v>
      </c>
      <c r="T60" s="88">
        <f t="shared" si="21"/>
        <v>24070.600000000002</v>
      </c>
      <c r="U60" s="88">
        <f t="shared" si="21"/>
        <v>17473.83</v>
      </c>
      <c r="V60" s="88">
        <f t="shared" si="21"/>
        <v>0</v>
      </c>
      <c r="W60" s="88">
        <f t="shared" si="21"/>
        <v>0</v>
      </c>
      <c r="X60" s="88">
        <f t="shared" si="21"/>
        <v>0</v>
      </c>
      <c r="Y60" s="88">
        <f t="shared" si="21"/>
        <v>0</v>
      </c>
      <c r="Z60" s="88">
        <f t="shared" si="21"/>
        <v>0</v>
      </c>
      <c r="AA60" s="88">
        <f t="shared" si="21"/>
        <v>3210.4</v>
      </c>
      <c r="AB60" s="88">
        <f t="shared" si="21"/>
        <v>0</v>
      </c>
      <c r="AC60" s="88">
        <f t="shared" si="21"/>
        <v>0</v>
      </c>
      <c r="AD60" s="88">
        <f>AD61+AD62+AD63+AD64</f>
        <v>5104</v>
      </c>
      <c r="AE60" s="88">
        <f t="shared" si="21"/>
        <v>8070</v>
      </c>
      <c r="AF60" s="127"/>
    </row>
    <row r="61" spans="1:32" s="53" customFormat="1" ht="21.75" customHeight="1">
      <c r="A61" s="63" t="s">
        <v>27</v>
      </c>
      <c r="B61" s="82">
        <f>H61+J61+L61+N61+P61+R61+T61+V61+X61+Z61+AB61+AD61</f>
        <v>33714.840000000004</v>
      </c>
      <c r="C61" s="82">
        <f>H61+J61+L61+N61+P61+R61+T61+V61+X61+Z61+AB61+AD61</f>
        <v>33714.840000000004</v>
      </c>
      <c r="D61" s="82">
        <f>E61</f>
        <v>30326.470000000005</v>
      </c>
      <c r="E61" s="82">
        <f>I61+K61+M61+O61+Q61+S61+U61+W61+Y61+AA61+AC61+AE61</f>
        <v>30326.470000000005</v>
      </c>
      <c r="F61" s="82">
        <f>(I61+K61+M61+O61+Q61+S61+U61+W61+Y61+AA61+AC61+AE61)/B61*100</f>
        <v>89.94991523020724</v>
      </c>
      <c r="G61" s="82">
        <f>(I61+K61+M61+O61+Q61+S61+U61+W61+Y61+AA61+AC61+AE61)/C61*100</f>
        <v>89.94991523020724</v>
      </c>
      <c r="H61" s="82">
        <v>0</v>
      </c>
      <c r="I61" s="82">
        <v>0</v>
      </c>
      <c r="J61" s="82">
        <v>0</v>
      </c>
      <c r="K61" s="82">
        <v>0</v>
      </c>
      <c r="L61" s="82">
        <v>3034.5</v>
      </c>
      <c r="M61" s="82">
        <v>3034.54</v>
      </c>
      <c r="N61" s="82">
        <v>0</v>
      </c>
      <c r="O61" s="82">
        <v>0</v>
      </c>
      <c r="P61" s="82">
        <v>0</v>
      </c>
      <c r="Q61" s="82">
        <v>0</v>
      </c>
      <c r="R61" s="82">
        <v>3034.54</v>
      </c>
      <c r="S61" s="82">
        <v>0</v>
      </c>
      <c r="T61" s="82">
        <v>22694.7</v>
      </c>
      <c r="U61" s="82">
        <v>16648.33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3026.9</v>
      </c>
      <c r="AB61" s="82">
        <v>0</v>
      </c>
      <c r="AC61" s="82">
        <v>0</v>
      </c>
      <c r="AD61" s="82">
        <v>4951.1</v>
      </c>
      <c r="AE61" s="82">
        <v>7616.7</v>
      </c>
      <c r="AF61" s="127"/>
    </row>
    <row r="62" spans="1:32" s="53" customFormat="1" ht="21.75" customHeight="1">
      <c r="A62" s="64" t="s">
        <v>28</v>
      </c>
      <c r="B62" s="82">
        <f>H62+J62+L62+N62+P62+R62+T62+V62+X62+Z62+AB62+AD62</f>
        <v>2152</v>
      </c>
      <c r="C62" s="82">
        <f>H62+J62+L62+N62+P62+R62+T62+V62+X62+Z62+AB62+AD62</f>
        <v>2152</v>
      </c>
      <c r="D62" s="82">
        <f>E62</f>
        <v>2085.5</v>
      </c>
      <c r="E62" s="82">
        <f>M62+U62+AA62+AC62+AE62</f>
        <v>2085.5</v>
      </c>
      <c r="F62" s="82">
        <f>(I62+K62+M62+O62+Q62+S62+U62+W62+Y62+AA62+AC62+AE62)/B62*100</f>
        <v>96.90985130111525</v>
      </c>
      <c r="G62" s="82">
        <f>(I62+K62+M62+O62+Q62+S62+U62+W62+Y62+AA62+AC62+AE62)/C62*100</f>
        <v>96.90985130111525</v>
      </c>
      <c r="H62" s="82">
        <v>0</v>
      </c>
      <c r="I62" s="82">
        <v>0</v>
      </c>
      <c r="J62" s="82">
        <v>623.2</v>
      </c>
      <c r="K62" s="82">
        <v>0</v>
      </c>
      <c r="L62" s="82">
        <v>0</v>
      </c>
      <c r="M62" s="82">
        <v>623.2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1375.9</v>
      </c>
      <c r="U62" s="82">
        <v>825.5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183.5</v>
      </c>
      <c r="AB62" s="82">
        <v>0</v>
      </c>
      <c r="AC62" s="82">
        <v>0</v>
      </c>
      <c r="AD62" s="82">
        <v>152.9</v>
      </c>
      <c r="AE62" s="82">
        <v>453.3</v>
      </c>
      <c r="AF62" s="127"/>
    </row>
    <row r="63" spans="1:32" s="7" customFormat="1" ht="21.75" customHeight="1">
      <c r="A63" s="64" t="s">
        <v>29</v>
      </c>
      <c r="B63" s="82"/>
      <c r="C63" s="82"/>
      <c r="D63" s="82"/>
      <c r="E63" s="82"/>
      <c r="F63" s="87"/>
      <c r="G63" s="87"/>
      <c r="H63" s="93"/>
      <c r="I63" s="88"/>
      <c r="J63" s="88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127"/>
    </row>
    <row r="64" spans="1:32" s="7" customFormat="1" ht="21.75" customHeight="1">
      <c r="A64" s="64" t="s">
        <v>30</v>
      </c>
      <c r="B64" s="82"/>
      <c r="C64" s="82"/>
      <c r="D64" s="82"/>
      <c r="E64" s="82"/>
      <c r="F64" s="82"/>
      <c r="G64" s="82"/>
      <c r="H64" s="88"/>
      <c r="I64" s="88"/>
      <c r="J64" s="88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128"/>
    </row>
    <row r="65" spans="1:32" s="101" customFormat="1" ht="37.5" customHeight="1">
      <c r="A65" s="46" t="s">
        <v>52</v>
      </c>
      <c r="B65" s="99">
        <f>B66+B72</f>
        <v>2360.51</v>
      </c>
      <c r="C65" s="99">
        <f aca="true" t="shared" si="22" ref="C65:AE65">C66+C72</f>
        <v>2360.51</v>
      </c>
      <c r="D65" s="99">
        <f t="shared" si="22"/>
        <v>2360.45</v>
      </c>
      <c r="E65" s="99">
        <f t="shared" si="22"/>
        <v>2360.45</v>
      </c>
      <c r="F65" s="99">
        <f t="shared" si="22"/>
        <v>199.99724898097668</v>
      </c>
      <c r="G65" s="99">
        <f t="shared" si="22"/>
        <v>199.99724898097668</v>
      </c>
      <c r="H65" s="99">
        <f t="shared" si="22"/>
        <v>0</v>
      </c>
      <c r="I65" s="99">
        <f t="shared" si="22"/>
        <v>0</v>
      </c>
      <c r="J65" s="99">
        <f t="shared" si="22"/>
        <v>0</v>
      </c>
      <c r="K65" s="99">
        <f t="shared" si="22"/>
        <v>0</v>
      </c>
      <c r="L65" s="99">
        <f t="shared" si="22"/>
        <v>0</v>
      </c>
      <c r="M65" s="99">
        <f t="shared" si="22"/>
        <v>0</v>
      </c>
      <c r="N65" s="99">
        <f t="shared" si="22"/>
        <v>1903.24</v>
      </c>
      <c r="O65" s="99">
        <f t="shared" si="22"/>
        <v>1903.24</v>
      </c>
      <c r="P65" s="99">
        <f t="shared" si="22"/>
        <v>0</v>
      </c>
      <c r="Q65" s="99">
        <f t="shared" si="22"/>
        <v>0</v>
      </c>
      <c r="R65" s="99">
        <f t="shared" si="22"/>
        <v>0</v>
      </c>
      <c r="S65" s="99">
        <f t="shared" si="22"/>
        <v>0</v>
      </c>
      <c r="T65" s="99">
        <f t="shared" si="22"/>
        <v>0</v>
      </c>
      <c r="U65" s="99">
        <f t="shared" si="22"/>
        <v>0</v>
      </c>
      <c r="V65" s="99">
        <f t="shared" si="22"/>
        <v>179.5</v>
      </c>
      <c r="W65" s="99">
        <f t="shared" si="22"/>
        <v>179.5</v>
      </c>
      <c r="X65" s="99">
        <f t="shared" si="22"/>
        <v>277.73</v>
      </c>
      <c r="Y65" s="99">
        <f t="shared" si="22"/>
        <v>277.71</v>
      </c>
      <c r="Z65" s="99">
        <f t="shared" si="22"/>
        <v>0.04</v>
      </c>
      <c r="AA65" s="99">
        <f t="shared" si="22"/>
        <v>0</v>
      </c>
      <c r="AB65" s="99">
        <f t="shared" si="22"/>
        <v>0</v>
      </c>
      <c r="AC65" s="99">
        <f t="shared" si="22"/>
        <v>0</v>
      </c>
      <c r="AD65" s="99">
        <f t="shared" si="22"/>
        <v>0</v>
      </c>
      <c r="AE65" s="99">
        <f t="shared" si="22"/>
        <v>0</v>
      </c>
      <c r="AF65" s="36"/>
    </row>
    <row r="66" spans="1:32" s="101" customFormat="1" ht="40.5" customHeight="1">
      <c r="A66" s="67" t="s">
        <v>53</v>
      </c>
      <c r="B66" s="98">
        <f>B67</f>
        <v>2181.01</v>
      </c>
      <c r="C66" s="98">
        <f aca="true" t="shared" si="23" ref="C66:AE66">C67</f>
        <v>2181.01</v>
      </c>
      <c r="D66" s="98">
        <f t="shared" si="23"/>
        <v>2180.95</v>
      </c>
      <c r="E66" s="98">
        <f t="shared" si="23"/>
        <v>2180.95</v>
      </c>
      <c r="F66" s="98">
        <f t="shared" si="23"/>
        <v>99.99724898097668</v>
      </c>
      <c r="G66" s="98">
        <f t="shared" si="23"/>
        <v>99.99724898097668</v>
      </c>
      <c r="H66" s="98">
        <f t="shared" si="23"/>
        <v>0</v>
      </c>
      <c r="I66" s="98">
        <f t="shared" si="23"/>
        <v>0</v>
      </c>
      <c r="J66" s="98">
        <f t="shared" si="23"/>
        <v>0</v>
      </c>
      <c r="K66" s="98">
        <f t="shared" si="23"/>
        <v>0</v>
      </c>
      <c r="L66" s="98">
        <f t="shared" si="23"/>
        <v>0</v>
      </c>
      <c r="M66" s="98">
        <f t="shared" si="23"/>
        <v>0</v>
      </c>
      <c r="N66" s="98">
        <f t="shared" si="23"/>
        <v>1903.24</v>
      </c>
      <c r="O66" s="98">
        <f t="shared" si="23"/>
        <v>1903.24</v>
      </c>
      <c r="P66" s="98">
        <f t="shared" si="23"/>
        <v>0</v>
      </c>
      <c r="Q66" s="98">
        <f t="shared" si="23"/>
        <v>0</v>
      </c>
      <c r="R66" s="98">
        <f t="shared" si="23"/>
        <v>0</v>
      </c>
      <c r="S66" s="98">
        <f t="shared" si="23"/>
        <v>0</v>
      </c>
      <c r="T66" s="98">
        <f t="shared" si="23"/>
        <v>0</v>
      </c>
      <c r="U66" s="98">
        <f t="shared" si="23"/>
        <v>0</v>
      </c>
      <c r="V66" s="98">
        <f t="shared" si="23"/>
        <v>0</v>
      </c>
      <c r="W66" s="98">
        <f t="shared" si="23"/>
        <v>0</v>
      </c>
      <c r="X66" s="98">
        <f t="shared" si="23"/>
        <v>277.73</v>
      </c>
      <c r="Y66" s="98">
        <f t="shared" si="23"/>
        <v>277.71</v>
      </c>
      <c r="Z66" s="98">
        <f t="shared" si="23"/>
        <v>0.04</v>
      </c>
      <c r="AA66" s="98">
        <f t="shared" si="23"/>
        <v>0</v>
      </c>
      <c r="AB66" s="98">
        <f t="shared" si="23"/>
        <v>0</v>
      </c>
      <c r="AC66" s="98">
        <f t="shared" si="23"/>
        <v>0</v>
      </c>
      <c r="AD66" s="98">
        <f t="shared" si="23"/>
        <v>0</v>
      </c>
      <c r="AE66" s="98">
        <f t="shared" si="23"/>
        <v>0</v>
      </c>
      <c r="AF66" s="52" t="s">
        <v>70</v>
      </c>
    </row>
    <row r="67" spans="1:32" s="7" customFormat="1" ht="21.75" customHeight="1">
      <c r="A67" s="10" t="s">
        <v>26</v>
      </c>
      <c r="B67" s="88">
        <f>B68+B69</f>
        <v>2181.01</v>
      </c>
      <c r="C67" s="88">
        <f>C68+C69</f>
        <v>2181.01</v>
      </c>
      <c r="D67" s="88">
        <f>D68+D69</f>
        <v>2180.95</v>
      </c>
      <c r="E67" s="88">
        <f>E68+E69</f>
        <v>2180.95</v>
      </c>
      <c r="F67" s="88">
        <f>E67/B67*100</f>
        <v>99.99724898097668</v>
      </c>
      <c r="G67" s="88">
        <f aca="true" t="shared" si="24" ref="G67:AE67">G68+G69+G70+G71</f>
        <v>99.99724898097668</v>
      </c>
      <c r="H67" s="88">
        <f t="shared" si="24"/>
        <v>0</v>
      </c>
      <c r="I67" s="88">
        <f t="shared" si="24"/>
        <v>0</v>
      </c>
      <c r="J67" s="88">
        <v>0</v>
      </c>
      <c r="K67" s="88">
        <f t="shared" si="24"/>
        <v>0</v>
      </c>
      <c r="L67" s="88">
        <f t="shared" si="24"/>
        <v>0</v>
      </c>
      <c r="M67" s="88">
        <f t="shared" si="24"/>
        <v>0</v>
      </c>
      <c r="N67" s="88">
        <f t="shared" si="24"/>
        <v>1903.24</v>
      </c>
      <c r="O67" s="88">
        <f t="shared" si="24"/>
        <v>1903.24</v>
      </c>
      <c r="P67" s="88">
        <f t="shared" si="24"/>
        <v>0</v>
      </c>
      <c r="Q67" s="88">
        <f t="shared" si="24"/>
        <v>0</v>
      </c>
      <c r="R67" s="88">
        <f t="shared" si="24"/>
        <v>0</v>
      </c>
      <c r="S67" s="88">
        <f t="shared" si="24"/>
        <v>0</v>
      </c>
      <c r="T67" s="88">
        <f t="shared" si="24"/>
        <v>0</v>
      </c>
      <c r="U67" s="88">
        <f t="shared" si="24"/>
        <v>0</v>
      </c>
      <c r="V67" s="88">
        <f t="shared" si="24"/>
        <v>0</v>
      </c>
      <c r="W67" s="88">
        <f t="shared" si="24"/>
        <v>0</v>
      </c>
      <c r="X67" s="88">
        <f t="shared" si="24"/>
        <v>277.73</v>
      </c>
      <c r="Y67" s="88">
        <f t="shared" si="24"/>
        <v>277.71</v>
      </c>
      <c r="Z67" s="88">
        <f t="shared" si="24"/>
        <v>0.04</v>
      </c>
      <c r="AA67" s="88">
        <f t="shared" si="24"/>
        <v>0</v>
      </c>
      <c r="AB67" s="88">
        <f t="shared" si="24"/>
        <v>0</v>
      </c>
      <c r="AC67" s="88">
        <f t="shared" si="24"/>
        <v>0</v>
      </c>
      <c r="AD67" s="88">
        <f t="shared" si="24"/>
        <v>0</v>
      </c>
      <c r="AE67" s="88">
        <f t="shared" si="24"/>
        <v>0</v>
      </c>
      <c r="AF67" s="37"/>
    </row>
    <row r="68" spans="1:32" s="43" customFormat="1" ht="21.75" customHeight="1">
      <c r="A68" s="64" t="s">
        <v>27</v>
      </c>
      <c r="B68" s="82"/>
      <c r="C68" s="82"/>
      <c r="D68" s="82"/>
      <c r="E68" s="82"/>
      <c r="F68" s="82"/>
      <c r="G68" s="82"/>
      <c r="H68" s="93"/>
      <c r="I68" s="93"/>
      <c r="J68" s="93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2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42"/>
    </row>
    <row r="69" spans="1:32" s="53" customFormat="1" ht="21.75" customHeight="1">
      <c r="A69" s="64" t="s">
        <v>28</v>
      </c>
      <c r="B69" s="82">
        <f>H69+J69+L69+N69+P69+R69+T69+V69+X69+Z69+AB69+AD69</f>
        <v>2181.01</v>
      </c>
      <c r="C69" s="82">
        <f>O69+X69+Z69</f>
        <v>2181.01</v>
      </c>
      <c r="D69" s="82">
        <f>E69</f>
        <v>2180.95</v>
      </c>
      <c r="E69" s="82">
        <f>O69+Y69</f>
        <v>2180.95</v>
      </c>
      <c r="F69" s="82">
        <f>E69/B69*100</f>
        <v>99.99724898097668</v>
      </c>
      <c r="G69" s="82">
        <f>E69/C69*100</f>
        <v>99.99724898097668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1903.24</v>
      </c>
      <c r="O69" s="82">
        <v>1903.24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277.73</v>
      </c>
      <c r="Y69" s="82">
        <v>277.71</v>
      </c>
      <c r="Z69" s="82">
        <v>0.04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36"/>
    </row>
    <row r="70" spans="1:32" s="7" customFormat="1" ht="21.75" customHeight="1">
      <c r="A70" s="64" t="s">
        <v>29</v>
      </c>
      <c r="B70" s="82"/>
      <c r="C70" s="82"/>
      <c r="D70" s="82"/>
      <c r="E70" s="82"/>
      <c r="F70" s="82"/>
      <c r="G70" s="82"/>
      <c r="H70" s="88"/>
      <c r="I70" s="88"/>
      <c r="J70" s="88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36"/>
    </row>
    <row r="71" spans="1:32" s="7" customFormat="1" ht="21.75" customHeight="1">
      <c r="A71" s="64" t="s">
        <v>30</v>
      </c>
      <c r="B71" s="82"/>
      <c r="C71" s="82"/>
      <c r="D71" s="82"/>
      <c r="E71" s="82"/>
      <c r="F71" s="82"/>
      <c r="G71" s="82"/>
      <c r="H71" s="88"/>
      <c r="I71" s="88"/>
      <c r="J71" s="88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36"/>
    </row>
    <row r="72" spans="1:32" s="108" customFormat="1" ht="121.5" customHeight="1">
      <c r="A72" s="67" t="s">
        <v>57</v>
      </c>
      <c r="B72" s="98">
        <f>B73</f>
        <v>179.5</v>
      </c>
      <c r="C72" s="98">
        <f aca="true" t="shared" si="25" ref="C72:AE72">C73</f>
        <v>179.5</v>
      </c>
      <c r="D72" s="98">
        <f t="shared" si="25"/>
        <v>179.5</v>
      </c>
      <c r="E72" s="98">
        <f t="shared" si="25"/>
        <v>179.5</v>
      </c>
      <c r="F72" s="98">
        <f t="shared" si="25"/>
        <v>100</v>
      </c>
      <c r="G72" s="98">
        <f t="shared" si="25"/>
        <v>100</v>
      </c>
      <c r="H72" s="98">
        <f t="shared" si="25"/>
        <v>0</v>
      </c>
      <c r="I72" s="98">
        <f t="shared" si="25"/>
        <v>0</v>
      </c>
      <c r="J72" s="98">
        <f t="shared" si="25"/>
        <v>0</v>
      </c>
      <c r="K72" s="98">
        <f t="shared" si="25"/>
        <v>0</v>
      </c>
      <c r="L72" s="98">
        <f t="shared" si="25"/>
        <v>0</v>
      </c>
      <c r="M72" s="98">
        <f t="shared" si="25"/>
        <v>0</v>
      </c>
      <c r="N72" s="98">
        <f t="shared" si="25"/>
        <v>0</v>
      </c>
      <c r="O72" s="98">
        <f t="shared" si="25"/>
        <v>0</v>
      </c>
      <c r="P72" s="98">
        <f t="shared" si="25"/>
        <v>0</v>
      </c>
      <c r="Q72" s="98">
        <f t="shared" si="25"/>
        <v>0</v>
      </c>
      <c r="R72" s="98">
        <f t="shared" si="25"/>
        <v>0</v>
      </c>
      <c r="S72" s="98">
        <f t="shared" si="25"/>
        <v>0</v>
      </c>
      <c r="T72" s="98">
        <f t="shared" si="25"/>
        <v>0</v>
      </c>
      <c r="U72" s="98">
        <f t="shared" si="25"/>
        <v>0</v>
      </c>
      <c r="V72" s="98">
        <f t="shared" si="25"/>
        <v>179.5</v>
      </c>
      <c r="W72" s="98">
        <f t="shared" si="25"/>
        <v>179.5</v>
      </c>
      <c r="X72" s="98">
        <f t="shared" si="25"/>
        <v>0</v>
      </c>
      <c r="Y72" s="98">
        <f t="shared" si="25"/>
        <v>0</v>
      </c>
      <c r="Z72" s="98">
        <f t="shared" si="25"/>
        <v>0</v>
      </c>
      <c r="AA72" s="98">
        <f t="shared" si="25"/>
        <v>0</v>
      </c>
      <c r="AB72" s="98">
        <f t="shared" si="25"/>
        <v>0</v>
      </c>
      <c r="AC72" s="98">
        <f t="shared" si="25"/>
        <v>0</v>
      </c>
      <c r="AD72" s="98">
        <f t="shared" si="25"/>
        <v>0</v>
      </c>
      <c r="AE72" s="98">
        <f t="shared" si="25"/>
        <v>0</v>
      </c>
      <c r="AF72" s="52" t="s">
        <v>73</v>
      </c>
    </row>
    <row r="73" spans="1:32" s="7" customFormat="1" ht="18" customHeight="1">
      <c r="A73" s="10" t="s">
        <v>26</v>
      </c>
      <c r="B73" s="88">
        <f>B74+B75</f>
        <v>179.5</v>
      </c>
      <c r="C73" s="88">
        <f>C74+C75</f>
        <v>179.5</v>
      </c>
      <c r="D73" s="88">
        <f>D74+D75</f>
        <v>179.5</v>
      </c>
      <c r="E73" s="88">
        <f>E74+E75</f>
        <v>179.5</v>
      </c>
      <c r="F73" s="88">
        <f>E73/B73*100</f>
        <v>100</v>
      </c>
      <c r="G73" s="88">
        <f>G74+G75+G76+G77</f>
        <v>100</v>
      </c>
      <c r="H73" s="88">
        <f>H74+H75+H76+H77</f>
        <v>0</v>
      </c>
      <c r="I73" s="88">
        <f>I74+I75+I76+I77</f>
        <v>0</v>
      </c>
      <c r="J73" s="88">
        <v>0</v>
      </c>
      <c r="K73" s="88">
        <f aca="true" t="shared" si="26" ref="K73:AE73">K74+K75+K76+K77</f>
        <v>0</v>
      </c>
      <c r="L73" s="88">
        <f t="shared" si="26"/>
        <v>0</v>
      </c>
      <c r="M73" s="88">
        <f t="shared" si="26"/>
        <v>0</v>
      </c>
      <c r="N73" s="88">
        <f t="shared" si="26"/>
        <v>0</v>
      </c>
      <c r="O73" s="88">
        <f t="shared" si="26"/>
        <v>0</v>
      </c>
      <c r="P73" s="88">
        <f t="shared" si="26"/>
        <v>0</v>
      </c>
      <c r="Q73" s="88">
        <f t="shared" si="26"/>
        <v>0</v>
      </c>
      <c r="R73" s="88">
        <f t="shared" si="26"/>
        <v>0</v>
      </c>
      <c r="S73" s="88">
        <f t="shared" si="26"/>
        <v>0</v>
      </c>
      <c r="T73" s="88">
        <f t="shared" si="26"/>
        <v>0</v>
      </c>
      <c r="U73" s="88">
        <f t="shared" si="26"/>
        <v>0</v>
      </c>
      <c r="V73" s="88">
        <f t="shared" si="26"/>
        <v>179.5</v>
      </c>
      <c r="W73" s="88">
        <f t="shared" si="26"/>
        <v>179.5</v>
      </c>
      <c r="X73" s="88">
        <f t="shared" si="26"/>
        <v>0</v>
      </c>
      <c r="Y73" s="88">
        <f t="shared" si="26"/>
        <v>0</v>
      </c>
      <c r="Z73" s="88">
        <f t="shared" si="26"/>
        <v>0</v>
      </c>
      <c r="AA73" s="88">
        <f t="shared" si="26"/>
        <v>0</v>
      </c>
      <c r="AB73" s="88">
        <f t="shared" si="26"/>
        <v>0</v>
      </c>
      <c r="AC73" s="88">
        <f t="shared" si="26"/>
        <v>0</v>
      </c>
      <c r="AD73" s="88">
        <f t="shared" si="26"/>
        <v>0</v>
      </c>
      <c r="AE73" s="88">
        <f t="shared" si="26"/>
        <v>0</v>
      </c>
      <c r="AF73" s="37"/>
    </row>
    <row r="74" spans="1:32" s="43" customFormat="1" ht="18" customHeight="1">
      <c r="A74" s="69" t="s">
        <v>27</v>
      </c>
      <c r="B74" s="87"/>
      <c r="C74" s="87"/>
      <c r="D74" s="87"/>
      <c r="E74" s="87"/>
      <c r="F74" s="87"/>
      <c r="G74" s="87"/>
      <c r="H74" s="93"/>
      <c r="I74" s="93"/>
      <c r="J74" s="93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2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42"/>
    </row>
    <row r="75" spans="1:32" s="53" customFormat="1" ht="18" customHeight="1">
      <c r="A75" s="64" t="s">
        <v>28</v>
      </c>
      <c r="B75" s="82">
        <f>H75+J75+L75+N75+P75+R75+T75+V75+X75+Z75+AB75+AD75</f>
        <v>179.5</v>
      </c>
      <c r="C75" s="82">
        <f>H75+J75+L75+N75+P75+R75+V75+X75+Z75+AB75+AD75</f>
        <v>179.5</v>
      </c>
      <c r="D75" s="82">
        <f>C75</f>
        <v>179.5</v>
      </c>
      <c r="E75" s="82">
        <f>I75+K75+M75+O75+Q75+S75+U75+W75</f>
        <v>179.5</v>
      </c>
      <c r="F75" s="82">
        <f>(O75+Q75+S75+U75+V75)/B75*100</f>
        <v>100</v>
      </c>
      <c r="G75" s="82">
        <f>(K75+M75+O75+Q75+S75+W75)/C75*100</f>
        <v>100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179.5</v>
      </c>
      <c r="W75" s="82">
        <v>179.5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36"/>
    </row>
    <row r="76" spans="1:32" s="7" customFormat="1" ht="18" customHeight="1">
      <c r="A76" s="64" t="s">
        <v>29</v>
      </c>
      <c r="B76" s="82"/>
      <c r="C76" s="87"/>
      <c r="D76" s="87"/>
      <c r="E76" s="87"/>
      <c r="F76" s="87"/>
      <c r="G76" s="87"/>
      <c r="H76" s="88"/>
      <c r="I76" s="88"/>
      <c r="J76" s="88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36"/>
    </row>
    <row r="77" spans="1:32" s="7" customFormat="1" ht="18" customHeight="1">
      <c r="A77" s="64" t="s">
        <v>30</v>
      </c>
      <c r="B77" s="82"/>
      <c r="C77" s="87"/>
      <c r="D77" s="87"/>
      <c r="E77" s="87"/>
      <c r="F77" s="87"/>
      <c r="G77" s="87"/>
      <c r="H77" s="88"/>
      <c r="I77" s="88"/>
      <c r="J77" s="88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36"/>
    </row>
    <row r="78" spans="1:33" s="81" customFormat="1" ht="15.75">
      <c r="A78" s="78" t="s">
        <v>36</v>
      </c>
      <c r="B78" s="94">
        <f>B79+B80+B81</f>
        <v>149290.02428</v>
      </c>
      <c r="C78" s="94">
        <f>C79+C80+C81+C82</f>
        <v>149290.02428</v>
      </c>
      <c r="D78" s="94">
        <f aca="true" t="shared" si="27" ref="D78:AE78">D79+D80+D81+D82</f>
        <v>143127.66999999998</v>
      </c>
      <c r="E78" s="94">
        <f>E79+E80+E81+E82</f>
        <v>143127.66999999998</v>
      </c>
      <c r="F78" s="94">
        <f>E78/B78*100</f>
        <v>95.87222635288593</v>
      </c>
      <c r="G78" s="94">
        <f>E78/C78*100</f>
        <v>95.87222635288593</v>
      </c>
      <c r="H78" s="94">
        <f t="shared" si="27"/>
        <v>5481.04379</v>
      </c>
      <c r="I78" s="94">
        <f t="shared" si="27"/>
        <v>4665.09</v>
      </c>
      <c r="J78" s="94">
        <f t="shared" si="27"/>
        <v>10933.533309999999</v>
      </c>
      <c r="K78" s="94">
        <f t="shared" si="27"/>
        <v>10287.429999999998</v>
      </c>
      <c r="L78" s="94">
        <f t="shared" si="27"/>
        <v>16156.326379999999</v>
      </c>
      <c r="M78" s="94">
        <f>M79+M80+M81+M82</f>
        <v>13012.630000000001</v>
      </c>
      <c r="N78" s="94">
        <f>N79+N80+N81+N82</f>
        <v>12554.487710000001</v>
      </c>
      <c r="O78" s="94">
        <f t="shared" si="27"/>
        <v>12352.560000000001</v>
      </c>
      <c r="P78" s="94">
        <f t="shared" si="27"/>
        <v>15094.93562</v>
      </c>
      <c r="Q78" s="94">
        <f t="shared" si="27"/>
        <v>10396.55</v>
      </c>
      <c r="R78" s="94">
        <f t="shared" si="27"/>
        <v>27152.675420000003</v>
      </c>
      <c r="S78" s="94">
        <f t="shared" si="27"/>
        <v>22918.510000000002</v>
      </c>
      <c r="T78" s="94">
        <f>T79+T80+T81+T82</f>
        <v>33446.950280000005</v>
      </c>
      <c r="U78" s="94">
        <f>U79+U80+U81+U82</f>
        <v>30596.83</v>
      </c>
      <c r="V78" s="94">
        <f t="shared" si="27"/>
        <v>10215.580170000001</v>
      </c>
      <c r="W78" s="94">
        <f t="shared" si="27"/>
        <v>8059.110000000001</v>
      </c>
      <c r="X78" s="94">
        <f t="shared" si="27"/>
        <v>3430.45027</v>
      </c>
      <c r="Y78" s="94">
        <f t="shared" si="27"/>
        <v>4184.35</v>
      </c>
      <c r="Z78" s="94">
        <f t="shared" si="27"/>
        <v>3646.1910399999997</v>
      </c>
      <c r="AA78" s="94">
        <f t="shared" si="27"/>
        <v>9310.25</v>
      </c>
      <c r="AB78" s="94">
        <f t="shared" si="27"/>
        <v>1953.37029</v>
      </c>
      <c r="AC78" s="94">
        <f t="shared" si="27"/>
        <v>3459.97</v>
      </c>
      <c r="AD78" s="94">
        <f>AD79+AD80+AD81+AD82</f>
        <v>9224.48</v>
      </c>
      <c r="AE78" s="94">
        <f t="shared" si="27"/>
        <v>13884.39</v>
      </c>
      <c r="AF78" s="79"/>
      <c r="AG78" s="80">
        <f>AD78+AB78+Z78+H78+J78+L78+N78+P78+R78+T78+V78+X78</f>
        <v>149290.02428</v>
      </c>
    </row>
    <row r="79" spans="1:32" s="8" customFormat="1" ht="15.75">
      <c r="A79" s="64" t="s">
        <v>27</v>
      </c>
      <c r="B79" s="82">
        <f>B12+B18+B25+B33+B41+B47+B55+B61+B68</f>
        <v>130397.53428000002</v>
      </c>
      <c r="C79" s="95">
        <f>C12+C18+C25+C33+C41+C47+C55+C61+C68</f>
        <v>130397.53428000002</v>
      </c>
      <c r="D79" s="82">
        <f>D12+D18+D25+D33+D41+D47+D55+D61+D68</f>
        <v>124436.8</v>
      </c>
      <c r="E79" s="82">
        <f>E12+E18+E25+E33+E41+E47+E55+E61+E68</f>
        <v>124436.8</v>
      </c>
      <c r="F79" s="82">
        <f>E79/B79*100</f>
        <v>95.42879831822536</v>
      </c>
      <c r="G79" s="82">
        <f>E79/C79*100</f>
        <v>95.42879831822536</v>
      </c>
      <c r="H79" s="82">
        <f aca="true" t="shared" si="28" ref="H79:AC79">H12+H18+H25+H33+H41+H47+H55+H61</f>
        <v>5481.04379</v>
      </c>
      <c r="I79" s="82">
        <f t="shared" si="28"/>
        <v>4665.09</v>
      </c>
      <c r="J79" s="82">
        <f t="shared" si="28"/>
        <v>9767.033309999999</v>
      </c>
      <c r="K79" s="82">
        <f t="shared" si="28"/>
        <v>9838.689999999999</v>
      </c>
      <c r="L79" s="82">
        <f t="shared" si="28"/>
        <v>15319.94638</v>
      </c>
      <c r="M79" s="82">
        <f t="shared" si="28"/>
        <v>12237.2</v>
      </c>
      <c r="N79" s="82">
        <f t="shared" si="28"/>
        <v>10173.76771</v>
      </c>
      <c r="O79" s="82">
        <f t="shared" si="28"/>
        <v>10158.12</v>
      </c>
      <c r="P79" s="82">
        <f t="shared" si="28"/>
        <v>13765.35562</v>
      </c>
      <c r="Q79" s="82">
        <f t="shared" si="28"/>
        <v>9730.49</v>
      </c>
      <c r="R79" s="82">
        <f t="shared" si="28"/>
        <v>22972.68542</v>
      </c>
      <c r="S79" s="82">
        <f t="shared" si="28"/>
        <v>20685.800000000003</v>
      </c>
      <c r="T79" s="82">
        <f t="shared" si="28"/>
        <v>29026.99028</v>
      </c>
      <c r="U79" s="82">
        <f t="shared" si="28"/>
        <v>25117.56</v>
      </c>
      <c r="V79" s="82">
        <f t="shared" si="28"/>
        <v>6400.75017</v>
      </c>
      <c r="W79" s="82">
        <f t="shared" si="28"/>
        <v>4790.72</v>
      </c>
      <c r="X79" s="82">
        <f t="shared" si="28"/>
        <v>2818.8602699999997</v>
      </c>
      <c r="Y79" s="82">
        <f t="shared" si="28"/>
        <v>3511.98</v>
      </c>
      <c r="Z79" s="82">
        <f t="shared" si="28"/>
        <v>3646.1510399999997</v>
      </c>
      <c r="AA79" s="82">
        <f t="shared" si="28"/>
        <v>7260.59</v>
      </c>
      <c r="AB79" s="82">
        <f t="shared" si="28"/>
        <v>1953.37029</v>
      </c>
      <c r="AC79" s="82">
        <f t="shared" si="28"/>
        <v>3009.47</v>
      </c>
      <c r="AD79" s="82">
        <f>AD12+AD18+AD25+AD33+AD41+AD47+AD55+AD61+AD68</f>
        <v>9071.58</v>
      </c>
      <c r="AE79" s="82">
        <f>AE12+AE18+AE25+AE33+AE41+AE47+AE55+AE61</f>
        <v>13431.09</v>
      </c>
      <c r="AF79" s="36"/>
    </row>
    <row r="80" spans="1:32" s="8" customFormat="1" ht="15.75">
      <c r="A80" s="64" t="s">
        <v>28</v>
      </c>
      <c r="B80" s="82">
        <f>B13+B19+B26+B34+B42+B48+B56+B62+B69+B75</f>
        <v>17598.31</v>
      </c>
      <c r="C80" s="95">
        <f>C13+C19+C26+C34+C42+C48+C56+C62+C69+C75</f>
        <v>17598.31</v>
      </c>
      <c r="D80" s="82">
        <f>D13+D19+D26+D34+D42+D48+D56+D62+D69+D75</f>
        <v>17396.69</v>
      </c>
      <c r="E80" s="82">
        <f>E13+E19+E26+E34+E42+E48+E56+E62+E69+E75</f>
        <v>17396.69</v>
      </c>
      <c r="F80" s="82">
        <f>E80/B80*100</f>
        <v>98.85432180703714</v>
      </c>
      <c r="G80" s="82">
        <f>E80/C80*100</f>
        <v>98.85432180703714</v>
      </c>
      <c r="H80" s="82">
        <f aca="true" t="shared" si="29" ref="H80:AE80">H13+H19+H26+H34+H42+H48+H56+H62+H69+H75</f>
        <v>0</v>
      </c>
      <c r="I80" s="82">
        <f t="shared" si="29"/>
        <v>0</v>
      </c>
      <c r="J80" s="82">
        <f t="shared" si="29"/>
        <v>769.5</v>
      </c>
      <c r="K80" s="82">
        <f t="shared" si="29"/>
        <v>52.3</v>
      </c>
      <c r="L80" s="82">
        <f t="shared" si="29"/>
        <v>683.75</v>
      </c>
      <c r="M80" s="82">
        <f t="shared" si="29"/>
        <v>623.2</v>
      </c>
      <c r="N80" s="82">
        <f t="shared" si="29"/>
        <v>2228.7200000000003</v>
      </c>
      <c r="O80" s="82">
        <f t="shared" si="29"/>
        <v>2042.21</v>
      </c>
      <c r="P80" s="82">
        <f t="shared" si="29"/>
        <v>912.1800000000001</v>
      </c>
      <c r="Q80" s="82">
        <f t="shared" si="29"/>
        <v>247.96</v>
      </c>
      <c r="R80" s="82">
        <f t="shared" si="29"/>
        <v>4004.8399999999997</v>
      </c>
      <c r="S80" s="82">
        <f t="shared" si="29"/>
        <v>2057.53</v>
      </c>
      <c r="T80" s="82">
        <f t="shared" si="29"/>
        <v>4419.96</v>
      </c>
      <c r="U80" s="82">
        <f t="shared" si="29"/>
        <v>5479.27</v>
      </c>
      <c r="V80" s="82">
        <f t="shared" si="29"/>
        <v>3814.83</v>
      </c>
      <c r="W80" s="82">
        <f t="shared" si="29"/>
        <v>3268.3900000000003</v>
      </c>
      <c r="X80" s="82">
        <f t="shared" si="29"/>
        <v>611.59</v>
      </c>
      <c r="Y80" s="82">
        <f t="shared" si="29"/>
        <v>672.3699999999999</v>
      </c>
      <c r="Z80" s="82">
        <f t="shared" si="29"/>
        <v>0.04</v>
      </c>
      <c r="AA80" s="82">
        <f t="shared" si="29"/>
        <v>2049.66</v>
      </c>
      <c r="AB80" s="82">
        <f t="shared" si="29"/>
        <v>0</v>
      </c>
      <c r="AC80" s="82">
        <f t="shared" si="29"/>
        <v>450.5</v>
      </c>
      <c r="AD80" s="82">
        <f t="shared" si="29"/>
        <v>152.9</v>
      </c>
      <c r="AE80" s="82">
        <f t="shared" si="29"/>
        <v>453.3</v>
      </c>
      <c r="AF80" s="36"/>
    </row>
    <row r="81" spans="1:32" s="8" customFormat="1" ht="15.75">
      <c r="A81" s="64" t="s">
        <v>29</v>
      </c>
      <c r="B81" s="82">
        <f>B14+B20+B37+B43+B49+B57+B63+B70</f>
        <v>1294.18</v>
      </c>
      <c r="C81" s="95">
        <f>C14+C20+C37+C43+C49+C57+C63+C70</f>
        <v>1294.18</v>
      </c>
      <c r="D81" s="82">
        <f>D14+D20+D37+D43+D49+D57+D63</f>
        <v>1294.18</v>
      </c>
      <c r="E81" s="82">
        <f>E14+E20+E37+E43+E49+E57+E63+E70+E27</f>
        <v>1294.18</v>
      </c>
      <c r="F81" s="82">
        <f>E81/B81*100</f>
        <v>100</v>
      </c>
      <c r="G81" s="82">
        <f>E81/C81*100</f>
        <v>100</v>
      </c>
      <c r="H81" s="82">
        <f aca="true" t="shared" si="30" ref="H81:AE81">H14+H20+H37+H43+H49+H57+H63</f>
        <v>0</v>
      </c>
      <c r="I81" s="82">
        <f t="shared" si="30"/>
        <v>0</v>
      </c>
      <c r="J81" s="82">
        <f t="shared" si="30"/>
        <v>397</v>
      </c>
      <c r="K81" s="82">
        <f t="shared" si="30"/>
        <v>396.44</v>
      </c>
      <c r="L81" s="82">
        <f t="shared" si="30"/>
        <v>152.63</v>
      </c>
      <c r="M81" s="82">
        <f t="shared" si="30"/>
        <v>152.23</v>
      </c>
      <c r="N81" s="82">
        <f t="shared" si="30"/>
        <v>152</v>
      </c>
      <c r="O81" s="82">
        <f t="shared" si="30"/>
        <v>152.23</v>
      </c>
      <c r="P81" s="82">
        <f t="shared" si="30"/>
        <v>417.4</v>
      </c>
      <c r="Q81" s="82">
        <f t="shared" si="30"/>
        <v>418.1</v>
      </c>
      <c r="R81" s="82">
        <f t="shared" si="30"/>
        <v>175.15</v>
      </c>
      <c r="S81" s="82">
        <f t="shared" si="30"/>
        <v>175.18</v>
      </c>
      <c r="T81" s="82">
        <f t="shared" si="30"/>
        <v>0</v>
      </c>
      <c r="U81" s="82">
        <f t="shared" si="30"/>
        <v>0</v>
      </c>
      <c r="V81" s="82">
        <f t="shared" si="30"/>
        <v>0</v>
      </c>
      <c r="W81" s="82">
        <f t="shared" si="30"/>
        <v>0</v>
      </c>
      <c r="X81" s="82">
        <f t="shared" si="30"/>
        <v>0</v>
      </c>
      <c r="Y81" s="82">
        <f t="shared" si="30"/>
        <v>0</v>
      </c>
      <c r="Z81" s="82">
        <f t="shared" si="30"/>
        <v>0</v>
      </c>
      <c r="AA81" s="82">
        <f t="shared" si="30"/>
        <v>0</v>
      </c>
      <c r="AB81" s="82">
        <f t="shared" si="30"/>
        <v>0</v>
      </c>
      <c r="AC81" s="82">
        <f t="shared" si="30"/>
        <v>0</v>
      </c>
      <c r="AD81" s="82">
        <f t="shared" si="30"/>
        <v>0</v>
      </c>
      <c r="AE81" s="82">
        <f t="shared" si="30"/>
        <v>0</v>
      </c>
      <c r="AF81" s="36"/>
    </row>
    <row r="82" spans="1:32" s="8" customFormat="1" ht="16.5" hidden="1" thickBot="1">
      <c r="A82" s="32" t="s">
        <v>30</v>
      </c>
      <c r="B82" s="33">
        <v>2510.1</v>
      </c>
      <c r="C82" s="50">
        <f>C15+C21+C28+C38+C44+C50+C58+C64</f>
        <v>0</v>
      </c>
      <c r="D82" s="33"/>
      <c r="E82" s="33">
        <f>E15+E21+E28+E38+E44+E50+E58+E64</f>
        <v>0</v>
      </c>
      <c r="F82" s="33">
        <f>F15+F21+F28+F38+F44+F50+F58+F64</f>
        <v>0</v>
      </c>
      <c r="G82" s="15">
        <f>(I82+K82+M82)/B82*100</f>
        <v>0</v>
      </c>
      <c r="H82" s="18">
        <f aca="true" t="shared" si="31" ref="H82:W82">H15+H21+H28+H38+H44+H50+H58+H64</f>
        <v>0</v>
      </c>
      <c r="I82" s="18">
        <f t="shared" si="31"/>
        <v>0</v>
      </c>
      <c r="J82" s="18">
        <f t="shared" si="31"/>
        <v>0</v>
      </c>
      <c r="K82" s="18">
        <f t="shared" si="31"/>
        <v>0</v>
      </c>
      <c r="L82" s="18">
        <f t="shared" si="31"/>
        <v>0</v>
      </c>
      <c r="M82" s="18">
        <f t="shared" si="31"/>
        <v>0</v>
      </c>
      <c r="N82" s="18">
        <f t="shared" si="31"/>
        <v>0</v>
      </c>
      <c r="O82" s="18">
        <f t="shared" si="31"/>
        <v>0</v>
      </c>
      <c r="P82" s="18">
        <f t="shared" si="31"/>
        <v>0</v>
      </c>
      <c r="Q82" s="18">
        <f t="shared" si="31"/>
        <v>0</v>
      </c>
      <c r="R82" s="18">
        <f t="shared" si="31"/>
        <v>0</v>
      </c>
      <c r="S82" s="18">
        <f t="shared" si="31"/>
        <v>0</v>
      </c>
      <c r="T82" s="18">
        <f t="shared" si="31"/>
        <v>0</v>
      </c>
      <c r="U82" s="18">
        <f t="shared" si="31"/>
        <v>0</v>
      </c>
      <c r="V82" s="18">
        <f t="shared" si="31"/>
        <v>0</v>
      </c>
      <c r="W82" s="18">
        <f t="shared" si="31"/>
        <v>0</v>
      </c>
      <c r="X82" s="18">
        <v>0</v>
      </c>
      <c r="Y82" s="18">
        <f aca="true" t="shared" si="32" ref="Y82:AE82">Y15+Y21+Y28+Y38+Y44+Y50+Y58+Y64</f>
        <v>0</v>
      </c>
      <c r="Z82" s="18">
        <f t="shared" si="32"/>
        <v>0</v>
      </c>
      <c r="AA82" s="18">
        <f t="shared" si="32"/>
        <v>0</v>
      </c>
      <c r="AB82" s="18">
        <f t="shared" si="32"/>
        <v>0</v>
      </c>
      <c r="AC82" s="18">
        <f t="shared" si="32"/>
        <v>0</v>
      </c>
      <c r="AD82" s="18">
        <f t="shared" si="32"/>
        <v>0</v>
      </c>
      <c r="AE82" s="18">
        <f t="shared" si="32"/>
        <v>0</v>
      </c>
      <c r="AF82" s="40"/>
    </row>
    <row r="83" spans="1:32" s="21" customFormat="1" ht="18.75">
      <c r="A83" s="19" t="s">
        <v>61</v>
      </c>
      <c r="B83" s="20"/>
      <c r="C83" s="20"/>
      <c r="D83" s="20"/>
      <c r="E83" s="129" t="s">
        <v>59</v>
      </c>
      <c r="F83" s="129"/>
      <c r="G83" s="129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41"/>
    </row>
    <row r="84" spans="1:32" s="21" customFormat="1" ht="18.75">
      <c r="A84" s="19"/>
      <c r="B84" s="20"/>
      <c r="C84" s="20"/>
      <c r="D84" s="20"/>
      <c r="E84" s="77"/>
      <c r="F84" s="77"/>
      <c r="G84" s="77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41"/>
    </row>
    <row r="85" spans="1:32" s="23" customFormat="1" ht="18.75">
      <c r="A85" s="22" t="s">
        <v>47</v>
      </c>
      <c r="B85" s="24"/>
      <c r="C85" s="25"/>
      <c r="D85" s="25"/>
      <c r="E85" s="25"/>
      <c r="F85" s="25"/>
      <c r="G85" s="25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2"/>
    </row>
    <row r="86" spans="1:32" s="23" customFormat="1" ht="18.75">
      <c r="A86" s="22" t="s">
        <v>60</v>
      </c>
      <c r="B86" s="24"/>
      <c r="C86" s="25"/>
      <c r="D86" s="25"/>
      <c r="E86" s="25"/>
      <c r="F86" s="25"/>
      <c r="G86" s="25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2"/>
    </row>
    <row r="87" spans="1:32" s="23" customFormat="1" ht="18.75">
      <c r="A87" s="22" t="s">
        <v>54</v>
      </c>
      <c r="B87" s="24"/>
      <c r="C87" s="25"/>
      <c r="D87" s="25"/>
      <c r="E87" s="25"/>
      <c r="F87" s="25"/>
      <c r="G87" s="25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2"/>
    </row>
    <row r="88" spans="1:32" s="23" customFormat="1" ht="18.75">
      <c r="A88" s="22" t="s">
        <v>55</v>
      </c>
      <c r="B88" s="24"/>
      <c r="C88" s="25"/>
      <c r="D88" s="25"/>
      <c r="E88" s="25"/>
      <c r="F88" s="25"/>
      <c r="G88" s="25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2"/>
    </row>
    <row r="89" spans="1:32" s="23" customFormat="1" ht="18.75">
      <c r="A89" s="70">
        <v>42381</v>
      </c>
      <c r="B89" s="24"/>
      <c r="C89" s="25"/>
      <c r="D89" s="25"/>
      <c r="E89" s="25"/>
      <c r="F89" s="25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2"/>
    </row>
    <row r="90" spans="2:31" ht="15.75">
      <c r="B90" s="34"/>
      <c r="C90" s="35"/>
      <c r="D90" s="35"/>
      <c r="E90" s="35"/>
      <c r="F90" s="35"/>
      <c r="G90" s="35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2:31" ht="15.75">
      <c r="B91" s="34"/>
      <c r="C91" s="35"/>
      <c r="D91" s="35"/>
      <c r="E91" s="35"/>
      <c r="F91" s="35"/>
      <c r="G91" s="35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2:31" ht="15.75">
      <c r="B92" s="34"/>
      <c r="C92" s="35"/>
      <c r="D92" s="35"/>
      <c r="E92" s="35"/>
      <c r="F92" s="35"/>
      <c r="G92" s="35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2:31" ht="15.75">
      <c r="B93" s="34"/>
      <c r="C93" s="35"/>
      <c r="D93" s="35"/>
      <c r="E93" s="35"/>
      <c r="F93" s="35"/>
      <c r="G93" s="35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2:31" ht="15.75">
      <c r="B94" s="34"/>
      <c r="C94" s="35"/>
      <c r="D94" s="35"/>
      <c r="E94" s="35"/>
      <c r="F94" s="35"/>
      <c r="G94" s="35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2:31" ht="15.75">
      <c r="B95" s="34"/>
      <c r="C95" s="35"/>
      <c r="D95" s="35"/>
      <c r="E95" s="35"/>
      <c r="F95" s="35"/>
      <c r="G95" s="35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2:31" ht="15.75">
      <c r="B96" s="34"/>
      <c r="C96" s="35"/>
      <c r="D96" s="35"/>
      <c r="E96" s="35"/>
      <c r="F96" s="35"/>
      <c r="G96" s="35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2:31" ht="15.75">
      <c r="B97" s="34"/>
      <c r="C97" s="35"/>
      <c r="D97" s="35"/>
      <c r="E97" s="35"/>
      <c r="F97" s="35"/>
      <c r="G97" s="35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116" ht="15.75"/>
    <row r="117" ht="15.75"/>
    <row r="118" ht="15.75"/>
    <row r="119" ht="15.75"/>
    <row r="120" ht="15.75"/>
    <row r="121" ht="15.75"/>
    <row r="122" ht="15.75"/>
    <row r="123" ht="15.75"/>
  </sheetData>
  <sheetProtection selectLockedCells="1" selectUnlockedCells="1"/>
  <mergeCells count="25">
    <mergeCell ref="AF59:AF64"/>
    <mergeCell ref="E83:G83"/>
    <mergeCell ref="P4:Q4"/>
    <mergeCell ref="R4:S4"/>
    <mergeCell ref="G1:H1"/>
    <mergeCell ref="L1:R1"/>
    <mergeCell ref="A2:T2"/>
    <mergeCell ref="A3:S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AF4:AF5"/>
    <mergeCell ref="T4:U4"/>
    <mergeCell ref="V4:W4"/>
    <mergeCell ref="X4:Y4"/>
    <mergeCell ref="Z4:AA4"/>
    <mergeCell ref="AB4:AC4"/>
    <mergeCell ref="AD4:AE4"/>
  </mergeCells>
  <printOptions horizontalCentered="1"/>
  <pageMargins left="0" right="0" top="0.15748031496062992" bottom="0.15748031496062992" header="0" footer="0"/>
  <pageSetup fitToHeight="6" horizontalDpi="600" verticalDpi="600" orientation="landscape" paperSize="9" scale="40" r:id="rId3"/>
  <rowBreaks count="2" manualBreakCount="2">
    <brk id="28" max="31" man="1"/>
    <brk id="58" max="31" man="1"/>
  </rowBreaks>
  <colBreaks count="2" manualBreakCount="2">
    <brk id="17" max="93" man="1"/>
    <brk id="3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Обухова Елена Амировна</cp:lastModifiedBy>
  <cp:lastPrinted>2016-04-07T04:07:24Z</cp:lastPrinted>
  <dcterms:modified xsi:type="dcterms:W3CDTF">2016-04-07T04:07:29Z</dcterms:modified>
  <cp:category/>
  <cp:version/>
  <cp:contentType/>
  <cp:contentStatus/>
</cp:coreProperties>
</file>